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harts/chart9.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charts/chart10.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autoCompressPictures="0" defaultThemeVersion="124226"/>
  <bookViews>
    <workbookView xWindow="480" yWindow="540" windowWidth="15480" windowHeight="11400" tabRatio="386" activeTab="11"/>
  </bookViews>
  <sheets>
    <sheet name="1-Inhoud" sheetId="4" r:id="rId1"/>
    <sheet name="mob" sheetId="13" state="hidden" r:id="rId2"/>
    <sheet name="2-Algemene gegevens" sheetId="10" r:id="rId3"/>
    <sheet name="3-Synthese" sheetId="7" r:id="rId4"/>
    <sheet name="4-Materialen gebouwen" sheetId="24" r:id="rId5"/>
    <sheet name="4b" sheetId="25" state="hidden" r:id="rId6"/>
    <sheet name="4c" sheetId="26" state="hidden" r:id="rId7"/>
    <sheet name="5-Mobilité Data" sheetId="14" state="hidden" r:id="rId8"/>
    <sheet name="5-Tool Mobiliteit A" sheetId="15" r:id="rId9"/>
    <sheet name="5-Tool Mobiliteit B" sheetId="16" r:id="rId10"/>
    <sheet name="5-Tool mobiliteit C" sheetId="17" r:id="rId11"/>
    <sheet name="6-Tool biodiversiteit" sheetId="21" r:id="rId12"/>
    <sheet name="7-tool energie" sheetId="11" r:id="rId13"/>
    <sheet name="7b" sheetId="19" state="hidden" r:id="rId14"/>
    <sheet name="8-Tool water" sheetId="22" r:id="rId15"/>
    <sheet name="8b" sheetId="23" state="hidden" r:id="rId16"/>
    <sheet name="9-Tool afval" sheetId="12" r:id="rId17"/>
    <sheet name="10-Remarques " sheetId="18" r:id="rId18"/>
  </sheets>
  <externalReferences>
    <externalReference r:id="rId19"/>
    <externalReference r:id="rId20"/>
  </externalReferences>
  <definedNames>
    <definedName name="_xlnm._FilterDatabase" localSheetId="8" hidden="1">'5-Tool Mobiliteit A'!$B$4:$H$21</definedName>
    <definedName name="_xlnm._FilterDatabase" localSheetId="9" hidden="1">'5-Tool Mobiliteit B'!$E$6:$I$113</definedName>
    <definedName name="_xlnm._FilterDatabase" localSheetId="10" hidden="1">'5-Tool mobiliteit C'!$B$7:$I$7</definedName>
    <definedName name="_Toc256430534" localSheetId="4">'4-Materialen gebouwen'!$W$49</definedName>
    <definedName name="a_train">'5-Mobilité Data'!$D$24</definedName>
    <definedName name="b_train">'5-Mobilité Data'!$D$25</definedName>
    <definedName name="C_acc">'5-Mobilité Data'!$D$29</definedName>
    <definedName name="C_alc">'5-Mobilité Data'!$D$30</definedName>
    <definedName name="c_train">'5-Mobilité Data'!$D$26</definedName>
    <definedName name="Cbus">'5-Mobilité Data'!$D$28</definedName>
    <definedName name="CGM">'5-Mobilité Data'!$D$23</definedName>
    <definedName name="CGV">'5-Mobilité Data'!$D$22</definedName>
    <definedName name="ChoixBinaire">'6-Tool biodiversiteit'!$D$135:$D$136</definedName>
    <definedName name="ChoixBinaireAP">'6-Tool biodiversiteit'!$D$154:$D$155</definedName>
    <definedName name="ChoixBinaireZP">'6-Tool biodiversiteit'!$D$108:$D$110</definedName>
    <definedName name="ChoixBinaireZR">'6-Tool biodiversiteit'!$D$150:$D$151</definedName>
    <definedName name="Collaboration">'6-Tool biodiversiteit'!$D$144:$D$147</definedName>
    <definedName name="d_train">'5-Mobilité Data'!$D$27</definedName>
    <definedName name="elec" localSheetId="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ssences">'6-Tool biodiversiteit'!$D$113:$D$118</definedName>
    <definedName name="fgfgfg">[1]TARGETS!$AN$21:$AN$27</definedName>
    <definedName name="fret_maritime_sortant" localSheetId="8">#REF!</definedName>
    <definedName name="GestionAbords">'6-Tool biodiversiteit'!$D$128:$D$132</definedName>
    <definedName name="GestionEspaces">'6-Tool biodiversiteit'!$D$121:$D$125</definedName>
    <definedName name="Inventaire">'6-Tool biodiversiteit'!$D$139:$D$139</definedName>
    <definedName name="InventaireAP">'6-Tool biodiversiteit'!$D$139:$D$141</definedName>
    <definedName name="Mode_de_déplacement_domicile_travail">'5-Mobilité Data'!$C$34:$C$43</definedName>
    <definedName name="Mode_de_déplacement_professionnel">'5-Mobilité Data'!$C$47:$C$58</definedName>
    <definedName name="Moyen_de_déplacement" localSheetId="8">'5-Mobilité Data'!$C$47:$C$59</definedName>
    <definedName name="Moyen_de_déplacement">'5-Mobilité Data'!$C$34:$C$59</definedName>
    <definedName name="Moyen_de_déplacement_de_fret">'5-Mobilité Data'!$C$63:$C$74</definedName>
    <definedName name="NACE">'2-Algemene gegevens'!$N$4:$N$91</definedName>
    <definedName name="parD">'5-Mobilité Data'!$D$20</definedName>
    <definedName name="PE">'5-Mobilité Data'!$D$18</definedName>
    <definedName name="PG">'5-Mobilité Data'!$D$16</definedName>
    <definedName name="PGPL">'5-Mobilité Data'!$D$19</definedName>
    <definedName name="PK">'5-Mobilité Data'!$D$17</definedName>
    <definedName name="PM">'5-Mobilité Data'!$D$21</definedName>
    <definedName name="_xlnm.Print_Area" localSheetId="3">'3-Synthese'!$B$4:$U$35</definedName>
    <definedName name="_xlnm.Print_Area" localSheetId="4">'4-Materialen gebouwen'!$A$1:$AB$478</definedName>
    <definedName name="_xlnm.Print_Area" localSheetId="9">'5-Tool Mobiliteit B'!$A$7:$G$111</definedName>
    <definedName name="_xlnm.Print_Area" localSheetId="10">'5-Tool mobiliteit C'!$A$7:$G$48</definedName>
    <definedName name="PV">'5-Mobilité Data'!$D$31</definedName>
    <definedName name="question">'6-Tool biodiversiteit'!$D$103:$D$105</definedName>
    <definedName name="QuestionnaireB.1.5">'4-Materialen gebouwen'!$AY$35:$AY$39</definedName>
    <definedName name="QuestionnairebaseNiv01">'4-Materialen gebouwen'!$AO$35:$AO$38</definedName>
    <definedName name="QuestionnaireBaseNiv1" localSheetId="6">'[2]TARGETS-01'!#REF!</definedName>
    <definedName name="QuestionnaireBaseNiv1">'4-Materialen gebouwen'!#REF!</definedName>
    <definedName name="QuestionnairenbaseNiv1">'4-Materialen gebouwen'!$AO$36:$AO$38</definedName>
    <definedName name="QuestionnairePourcentage">'4-Materialen gebouwen'!$AS$35:$AS$41</definedName>
    <definedName name="Regime_travail">'5-Mobilité Data'!#REF!</definedName>
    <definedName name="Régime_travail">'5-Mobilité Data'!#REF!</definedName>
    <definedName name="sdfdf">[1]TARGETS!$AN$21:$AN$27</definedName>
    <definedName name="table6" localSheetId="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empstravail" localSheetId="8">'5-Mobilité Data'!$C$48:$C$56</definedName>
    <definedName name="tempstravail">'5-Mobilité Data'!#REF!</definedName>
    <definedName name="wrn.Electricity._.Questionnaire." localSheetId="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G57" i="21" l="1"/>
  <c r="H58" i="21" s="1"/>
  <c r="G58" i="21"/>
  <c r="G59" i="21"/>
  <c r="D45" i="17"/>
  <c r="C45" i="17" s="1"/>
  <c r="D42" i="17"/>
  <c r="C42" i="17" s="1"/>
  <c r="D37" i="17"/>
  <c r="C37" i="17" s="1"/>
  <c r="D33" i="17"/>
  <c r="C33" i="17" s="1"/>
  <c r="D24" i="17"/>
  <c r="C24" i="17" s="1"/>
  <c r="D19" i="17"/>
  <c r="C19" i="17" s="1"/>
  <c r="T139" i="24"/>
  <c r="T138" i="24"/>
  <c r="T137" i="24"/>
  <c r="S139" i="24"/>
  <c r="S138" i="24"/>
  <c r="S137" i="24"/>
  <c r="AZ21" i="24"/>
  <c r="AX21" i="24"/>
  <c r="AX20" i="24"/>
  <c r="AX19" i="24"/>
  <c r="T136" i="24"/>
  <c r="T135" i="24"/>
  <c r="AX33" i="24" l="1"/>
  <c r="AX32" i="24"/>
  <c r="AX29" i="24"/>
  <c r="AX28" i="24"/>
  <c r="AX25" i="24"/>
  <c r="AX24" i="24"/>
  <c r="AX23" i="24"/>
  <c r="D111" i="16"/>
  <c r="C111" i="16"/>
  <c r="D107" i="16"/>
  <c r="E88" i="15" s="1"/>
  <c r="D99" i="16"/>
  <c r="C99" i="16" s="1"/>
  <c r="D91" i="16"/>
  <c r="C91" i="16" s="1"/>
  <c r="D78" i="16"/>
  <c r="C78" i="16" s="1"/>
  <c r="D71" i="16"/>
  <c r="C71" i="16" s="1"/>
  <c r="D65" i="16"/>
  <c r="C65" i="16" s="1"/>
  <c r="D57" i="16"/>
  <c r="C57" i="16" s="1"/>
  <c r="D54" i="16"/>
  <c r="C54" i="16" s="1"/>
  <c r="D52" i="16"/>
  <c r="C52" i="16" s="1"/>
  <c r="D50" i="16"/>
  <c r="C50" i="16" s="1"/>
  <c r="D46" i="16"/>
  <c r="C46" i="16"/>
  <c r="D43" i="16"/>
  <c r="C43" i="16" s="1"/>
  <c r="D40" i="16"/>
  <c r="C40" i="16"/>
  <c r="D31" i="16"/>
  <c r="C31" i="16" s="1"/>
  <c r="D27" i="16"/>
  <c r="C27" i="16"/>
  <c r="D24" i="16"/>
  <c r="C24" i="16" s="1"/>
  <c r="D20" i="16"/>
  <c r="E72" i="15" s="1"/>
  <c r="D11" i="16"/>
  <c r="C11" i="16" s="1"/>
  <c r="T326" i="24"/>
  <c r="V328" i="24" s="1"/>
  <c r="T325" i="24"/>
  <c r="T324" i="24"/>
  <c r="U328" i="24" s="1"/>
  <c r="T323" i="24"/>
  <c r="T316" i="24"/>
  <c r="U319" i="24" s="1"/>
  <c r="U311" i="24"/>
  <c r="T311" i="24"/>
  <c r="U310" i="24"/>
  <c r="T310" i="24"/>
  <c r="U309" i="24"/>
  <c r="T309" i="24"/>
  <c r="U308" i="24"/>
  <c r="T308" i="24"/>
  <c r="U307" i="24"/>
  <c r="T307" i="24"/>
  <c r="U306" i="24"/>
  <c r="T306" i="24"/>
  <c r="U305" i="24"/>
  <c r="T305" i="24"/>
  <c r="T304" i="24"/>
  <c r="U298" i="24"/>
  <c r="T298" i="24"/>
  <c r="U297" i="24"/>
  <c r="T297" i="24"/>
  <c r="U296" i="24"/>
  <c r="T296" i="24"/>
  <c r="U295" i="24"/>
  <c r="T295" i="24"/>
  <c r="U294" i="24"/>
  <c r="T294" i="24"/>
  <c r="U293" i="24"/>
  <c r="T293" i="24"/>
  <c r="U292" i="24"/>
  <c r="T292" i="24"/>
  <c r="U291" i="24"/>
  <c r="T291" i="24"/>
  <c r="V287" i="24"/>
  <c r="U287" i="24"/>
  <c r="T287" i="24"/>
  <c r="V286" i="24"/>
  <c r="U286" i="24"/>
  <c r="T286" i="24"/>
  <c r="V285" i="24"/>
  <c r="U285" i="24"/>
  <c r="T285" i="24"/>
  <c r="V284" i="24"/>
  <c r="U284" i="24"/>
  <c r="T284" i="24"/>
  <c r="V283" i="24"/>
  <c r="U283" i="24"/>
  <c r="T283" i="24"/>
  <c r="V282" i="24"/>
  <c r="U282" i="24"/>
  <c r="T282" i="24"/>
  <c r="V281" i="24"/>
  <c r="U281" i="24"/>
  <c r="T281" i="24"/>
  <c r="V280" i="24"/>
  <c r="U280" i="24"/>
  <c r="T280" i="24"/>
  <c r="V279" i="24"/>
  <c r="U279" i="24"/>
  <c r="T279" i="24"/>
  <c r="V278" i="24"/>
  <c r="U278" i="24"/>
  <c r="T278" i="24"/>
  <c r="V277" i="24"/>
  <c r="U277" i="24"/>
  <c r="T277" i="24"/>
  <c r="V276" i="24"/>
  <c r="U276" i="24"/>
  <c r="T276" i="24"/>
  <c r="V275" i="24"/>
  <c r="U275" i="24"/>
  <c r="T275" i="24"/>
  <c r="V274" i="24"/>
  <c r="U274" i="24"/>
  <c r="T274" i="24"/>
  <c r="V272" i="24"/>
  <c r="U272" i="24"/>
  <c r="T272" i="24"/>
  <c r="V271" i="24"/>
  <c r="U271" i="24"/>
  <c r="T271" i="24"/>
  <c r="V270" i="24"/>
  <c r="U270" i="24"/>
  <c r="T270" i="24"/>
  <c r="V269" i="24"/>
  <c r="U269" i="24"/>
  <c r="T269" i="24"/>
  <c r="T233" i="24"/>
  <c r="V235" i="24" s="1"/>
  <c r="T232" i="24"/>
  <c r="T231" i="24"/>
  <c r="T230" i="24"/>
  <c r="T223" i="24"/>
  <c r="U226" i="24" s="1"/>
  <c r="U218" i="24"/>
  <c r="T218" i="24"/>
  <c r="U217" i="24"/>
  <c r="T217" i="24"/>
  <c r="U216" i="24"/>
  <c r="T216" i="24"/>
  <c r="U215" i="24"/>
  <c r="T215" i="24"/>
  <c r="U214" i="24"/>
  <c r="T214" i="24"/>
  <c r="U213" i="24"/>
  <c r="T213" i="24"/>
  <c r="U212" i="24"/>
  <c r="T212" i="24"/>
  <c r="T211" i="24"/>
  <c r="U205" i="24"/>
  <c r="T205" i="24"/>
  <c r="U204" i="24"/>
  <c r="T204" i="24"/>
  <c r="U203" i="24"/>
  <c r="T203" i="24"/>
  <c r="U202" i="24"/>
  <c r="T202" i="24"/>
  <c r="U201" i="24"/>
  <c r="T201" i="24"/>
  <c r="U200" i="24"/>
  <c r="T200" i="24"/>
  <c r="U199" i="24"/>
  <c r="T199" i="24"/>
  <c r="U198" i="24"/>
  <c r="T198" i="24"/>
  <c r="V194" i="24"/>
  <c r="U194" i="24"/>
  <c r="T194" i="24"/>
  <c r="V193" i="24"/>
  <c r="U193" i="24"/>
  <c r="T193" i="24"/>
  <c r="V192" i="24"/>
  <c r="U192" i="24"/>
  <c r="T192" i="24"/>
  <c r="V191" i="24"/>
  <c r="U191" i="24"/>
  <c r="T191" i="24"/>
  <c r="V190" i="24"/>
  <c r="U190" i="24"/>
  <c r="T190" i="24"/>
  <c r="V189" i="24"/>
  <c r="U189" i="24"/>
  <c r="T189" i="24"/>
  <c r="V188" i="24"/>
  <c r="U188" i="24"/>
  <c r="T188" i="24"/>
  <c r="V187" i="24"/>
  <c r="U187" i="24"/>
  <c r="T187" i="24"/>
  <c r="V186" i="24"/>
  <c r="U186" i="24"/>
  <c r="T186" i="24"/>
  <c r="V185" i="24"/>
  <c r="U185" i="24"/>
  <c r="T185" i="24"/>
  <c r="V184" i="24"/>
  <c r="U184" i="24"/>
  <c r="T184" i="24"/>
  <c r="V183" i="24"/>
  <c r="U183" i="24"/>
  <c r="T183" i="24"/>
  <c r="V182" i="24"/>
  <c r="U182" i="24"/>
  <c r="T182" i="24"/>
  <c r="V181" i="24"/>
  <c r="U181" i="24"/>
  <c r="T181" i="24"/>
  <c r="V179" i="24"/>
  <c r="U179" i="24"/>
  <c r="T179" i="24"/>
  <c r="V178" i="24"/>
  <c r="U178" i="24"/>
  <c r="T178" i="24"/>
  <c r="V177" i="24"/>
  <c r="U177" i="24"/>
  <c r="T177" i="24"/>
  <c r="V176" i="24"/>
  <c r="U176" i="24"/>
  <c r="T176" i="24"/>
  <c r="Z141" i="24"/>
  <c r="Y141" i="24" s="1"/>
  <c r="AA141" i="24" s="1"/>
  <c r="M389" i="24" s="1"/>
  <c r="M406" i="24" s="1"/>
  <c r="S136" i="24"/>
  <c r="S135" i="24"/>
  <c r="T128" i="24"/>
  <c r="T127" i="24"/>
  <c r="T126" i="24"/>
  <c r="T125" i="24"/>
  <c r="T124" i="24"/>
  <c r="T123" i="24"/>
  <c r="U132" i="24" s="1"/>
  <c r="T117" i="24"/>
  <c r="X119" i="24" s="1"/>
  <c r="U116" i="24"/>
  <c r="T116" i="24"/>
  <c r="U115" i="24"/>
  <c r="T115" i="24"/>
  <c r="U114" i="24"/>
  <c r="T114" i="24"/>
  <c r="U113" i="24"/>
  <c r="T113" i="24"/>
  <c r="U112" i="24"/>
  <c r="T112" i="24"/>
  <c r="U111" i="24"/>
  <c r="T111" i="24"/>
  <c r="U110" i="24"/>
  <c r="T110" i="24"/>
  <c r="T105" i="24"/>
  <c r="T104" i="24"/>
  <c r="T103" i="24"/>
  <c r="U105" i="24" s="1"/>
  <c r="AA105" i="24" s="1"/>
  <c r="M386" i="24" s="1"/>
  <c r="M403" i="24" s="1"/>
  <c r="T102" i="24"/>
  <c r="W97" i="24"/>
  <c r="W99" i="24" s="1"/>
  <c r="V96" i="24"/>
  <c r="W95" i="24"/>
  <c r="V95" i="24"/>
  <c r="U95" i="24"/>
  <c r="T95" i="24"/>
  <c r="W94" i="24"/>
  <c r="V94" i="24"/>
  <c r="U94" i="24"/>
  <c r="T94" i="24"/>
  <c r="W93" i="24"/>
  <c r="V93" i="24"/>
  <c r="U93" i="24"/>
  <c r="T93" i="24"/>
  <c r="W92" i="24"/>
  <c r="V92" i="24"/>
  <c r="U92" i="24"/>
  <c r="T92" i="24"/>
  <c r="W91" i="24"/>
  <c r="V91" i="24"/>
  <c r="U91" i="24"/>
  <c r="T91" i="24"/>
  <c r="W90" i="24"/>
  <c r="V90" i="24"/>
  <c r="U90" i="24"/>
  <c r="T90" i="24"/>
  <c r="W89" i="24"/>
  <c r="V89" i="24"/>
  <c r="U89" i="24"/>
  <c r="T89" i="24"/>
  <c r="W88" i="24"/>
  <c r="V88" i="24"/>
  <c r="U88" i="24"/>
  <c r="T88" i="24"/>
  <c r="W87" i="24"/>
  <c r="V87" i="24"/>
  <c r="U87" i="24"/>
  <c r="T87" i="24"/>
  <c r="W86" i="24"/>
  <c r="V86" i="24"/>
  <c r="U86" i="24"/>
  <c r="T86" i="24"/>
  <c r="T81" i="24"/>
  <c r="V83" i="24" s="1"/>
  <c r="T80" i="24"/>
  <c r="T79" i="24"/>
  <c r="T78" i="24"/>
  <c r="T72" i="24"/>
  <c r="V73" i="24" s="1"/>
  <c r="T71" i="24"/>
  <c r="T70" i="24"/>
  <c r="T69" i="24"/>
  <c r="T68" i="24"/>
  <c r="T67" i="24"/>
  <c r="V61" i="24"/>
  <c r="U61" i="24"/>
  <c r="T61" i="24"/>
  <c r="AA60" i="24" s="1"/>
  <c r="V60" i="24"/>
  <c r="U60" i="24"/>
  <c r="T60" i="24"/>
  <c r="V59" i="24"/>
  <c r="U59" i="24"/>
  <c r="T59" i="24"/>
  <c r="V58" i="24"/>
  <c r="U58" i="24"/>
  <c r="T58" i="24"/>
  <c r="V57" i="24"/>
  <c r="U57" i="24"/>
  <c r="T57" i="24"/>
  <c r="W56" i="24" s="1"/>
  <c r="V56" i="24"/>
  <c r="U56" i="24"/>
  <c r="T56" i="24"/>
  <c r="V55" i="24"/>
  <c r="U55" i="24"/>
  <c r="T55" i="24"/>
  <c r="V54" i="24"/>
  <c r="U54" i="24"/>
  <c r="T54" i="24"/>
  <c r="V53" i="24"/>
  <c r="U53" i="24"/>
  <c r="T53" i="24"/>
  <c r="V52" i="24"/>
  <c r="U52" i="24"/>
  <c r="T52" i="24"/>
  <c r="V51" i="24"/>
  <c r="U51" i="24"/>
  <c r="T51" i="24"/>
  <c r="T45" i="24"/>
  <c r="T44" i="24"/>
  <c r="U48" i="24" s="1"/>
  <c r="AA48" i="24" s="1"/>
  <c r="M381" i="24" s="1"/>
  <c r="M398" i="24" s="1"/>
  <c r="T43" i="24"/>
  <c r="T39" i="24"/>
  <c r="T38" i="24"/>
  <c r="T37" i="24"/>
  <c r="T36" i="24"/>
  <c r="AO26" i="24"/>
  <c r="AO25" i="24"/>
  <c r="AO24" i="24"/>
  <c r="AO23" i="24"/>
  <c r="AO21" i="24"/>
  <c r="AO20" i="24"/>
  <c r="AO19" i="24"/>
  <c r="AO18" i="24"/>
  <c r="W328" i="24"/>
  <c r="X328" i="24"/>
  <c r="V319" i="24"/>
  <c r="W319" i="24"/>
  <c r="X319" i="24"/>
  <c r="Z288" i="24"/>
  <c r="U235" i="24"/>
  <c r="X235" i="24"/>
  <c r="W235" i="24"/>
  <c r="W226" i="24"/>
  <c r="V226" i="24"/>
  <c r="X226" i="24"/>
  <c r="Z195" i="24"/>
  <c r="AA176" i="24"/>
  <c r="AA181" i="24"/>
  <c r="AA188" i="24"/>
  <c r="W188" i="24"/>
  <c r="W181" i="24"/>
  <c r="W176" i="24"/>
  <c r="V132" i="24"/>
  <c r="Y132" i="24"/>
  <c r="Z132" i="24"/>
  <c r="X132" i="24"/>
  <c r="U119" i="24"/>
  <c r="V119" i="24"/>
  <c r="AA113" i="24"/>
  <c r="Y119" i="24"/>
  <c r="V99" i="24"/>
  <c r="AA86" i="24"/>
  <c r="AA90" i="24"/>
  <c r="AA94" i="24"/>
  <c r="X99" i="24"/>
  <c r="W83" i="24"/>
  <c r="W73" i="24"/>
  <c r="W63" i="24"/>
  <c r="V48" i="24"/>
  <c r="W48" i="24"/>
  <c r="V40" i="24"/>
  <c r="E21" i="24"/>
  <c r="E17" i="24"/>
  <c r="E15" i="24"/>
  <c r="G77" i="21"/>
  <c r="G78" i="21"/>
  <c r="G76" i="21"/>
  <c r="G75" i="21"/>
  <c r="G74" i="21"/>
  <c r="G80" i="21" s="1"/>
  <c r="F80" i="21" s="1"/>
  <c r="G69" i="21"/>
  <c r="G68" i="21"/>
  <c r="H60" i="21"/>
  <c r="G63" i="21"/>
  <c r="F10" i="21"/>
  <c r="F9" i="21"/>
  <c r="D48" i="17"/>
  <c r="D49" i="17"/>
  <c r="D50" i="17"/>
  <c r="D51" i="17"/>
  <c r="F6" i="12"/>
  <c r="F11" i="12"/>
  <c r="F15" i="12"/>
  <c r="F18" i="12"/>
  <c r="F19" i="12"/>
  <c r="F20" i="12"/>
  <c r="F22" i="12"/>
  <c r="F23" i="12"/>
  <c r="F27" i="12"/>
  <c r="F29" i="12"/>
  <c r="H11" i="12"/>
  <c r="H15" i="12"/>
  <c r="H18" i="12"/>
  <c r="H19" i="12"/>
  <c r="H20" i="12"/>
  <c r="H22" i="12"/>
  <c r="H23" i="12"/>
  <c r="C31" i="12"/>
  <c r="G49" i="7"/>
  <c r="F49" i="7"/>
  <c r="C40" i="22"/>
  <c r="C41" i="22"/>
  <c r="C43" i="22"/>
  <c r="C42" i="22"/>
  <c r="C20" i="22"/>
  <c r="C47" i="22" s="1"/>
  <c r="C58" i="22"/>
  <c r="C59" i="22" s="1"/>
  <c r="C60" i="22" s="1"/>
  <c r="C63" i="22"/>
  <c r="C65" i="22"/>
  <c r="C64" i="22"/>
  <c r="C68" i="22"/>
  <c r="C69" i="22"/>
  <c r="C70" i="22"/>
  <c r="C71" i="22"/>
  <c r="C74" i="22"/>
  <c r="C75" i="22"/>
  <c r="C76" i="22"/>
  <c r="C78" i="22"/>
  <c r="C77" i="22"/>
  <c r="G6" i="11"/>
  <c r="I6" i="11"/>
  <c r="G7" i="11"/>
  <c r="I7" i="11"/>
  <c r="G8" i="11"/>
  <c r="I8" i="11"/>
  <c r="G9" i="11"/>
  <c r="I9" i="11"/>
  <c r="G10" i="11"/>
  <c r="I10" i="11"/>
  <c r="G16" i="11"/>
  <c r="I16" i="11"/>
  <c r="G35" i="11"/>
  <c r="I35" i="11"/>
  <c r="G36" i="11"/>
  <c r="I36" i="11"/>
  <c r="G37" i="11"/>
  <c r="I37" i="11"/>
  <c r="G38" i="11"/>
  <c r="I38" i="11"/>
  <c r="G39" i="11"/>
  <c r="I39" i="11"/>
  <c r="G40" i="11"/>
  <c r="I40" i="11"/>
  <c r="G41" i="11"/>
  <c r="I41" i="11"/>
  <c r="G44" i="11"/>
  <c r="G45" i="11"/>
  <c r="G46" i="11"/>
  <c r="G47" i="11"/>
  <c r="I44" i="11"/>
  <c r="G52" i="11"/>
  <c r="I52" i="11"/>
  <c r="G5" i="11"/>
  <c r="I5" i="11"/>
  <c r="G14" i="11"/>
  <c r="G15" i="11"/>
  <c r="I14" i="11"/>
  <c r="G17" i="11"/>
  <c r="G18" i="11"/>
  <c r="I17" i="11"/>
  <c r="G19" i="11"/>
  <c r="G20" i="11"/>
  <c r="I19" i="11"/>
  <c r="G21" i="11"/>
  <c r="I21" i="11"/>
  <c r="G24" i="11"/>
  <c r="I24" i="11"/>
  <c r="G25" i="11"/>
  <c r="I25" i="11"/>
  <c r="G26" i="11"/>
  <c r="G27" i="11"/>
  <c r="I26" i="11"/>
  <c r="G28" i="11"/>
  <c r="G29" i="11"/>
  <c r="I28" i="11"/>
  <c r="G30" i="11"/>
  <c r="G31" i="11"/>
  <c r="I30" i="11"/>
  <c r="C54" i="11"/>
  <c r="G47" i="7"/>
  <c r="F47" i="7"/>
  <c r="H69" i="21"/>
  <c r="G70" i="21"/>
  <c r="H68" i="21"/>
  <c r="H33" i="21"/>
  <c r="H34" i="21"/>
  <c r="H35" i="21"/>
  <c r="H36" i="21"/>
  <c r="H37" i="21"/>
  <c r="H38" i="21"/>
  <c r="H39" i="21"/>
  <c r="H40" i="21"/>
  <c r="H41" i="21"/>
  <c r="H42" i="21"/>
  <c r="H44" i="21"/>
  <c r="I44" i="21" s="1"/>
  <c r="H45" i="21"/>
  <c r="H46" i="21"/>
  <c r="H47" i="21"/>
  <c r="H48" i="21"/>
  <c r="G49" i="21"/>
  <c r="H49" i="21" s="1"/>
  <c r="H51" i="21"/>
  <c r="I52" i="21" s="1"/>
  <c r="H52" i="21"/>
  <c r="I48" i="21"/>
  <c r="G50" i="21"/>
  <c r="G62" i="21"/>
  <c r="H63" i="21" s="1"/>
  <c r="E64" i="21" s="1"/>
  <c r="G84" i="21"/>
  <c r="G85" i="21"/>
  <c r="G86" i="21"/>
  <c r="G87" i="21"/>
  <c r="G89" i="21"/>
  <c r="F89" i="21" s="1"/>
  <c r="J249" i="24"/>
  <c r="W269" i="24" s="1"/>
  <c r="J253" i="24"/>
  <c r="W274" i="24" s="1"/>
  <c r="J257" i="24"/>
  <c r="AA281" i="24" s="1"/>
  <c r="M249" i="24"/>
  <c r="S299" i="24" s="1"/>
  <c r="S300" i="24" s="1"/>
  <c r="S312" i="24"/>
  <c r="S313" i="24" s="1"/>
  <c r="O23" i="24"/>
  <c r="S40" i="24" s="1"/>
  <c r="O15" i="24"/>
  <c r="S99" i="24" s="1"/>
  <c r="S100" i="24" s="1"/>
  <c r="Y99" i="24" s="1"/>
  <c r="O21" i="24"/>
  <c r="B86" i="26"/>
  <c r="B87" i="26"/>
  <c r="B88" i="26"/>
  <c r="B89" i="26"/>
  <c r="B91" i="26"/>
  <c r="B92" i="26"/>
  <c r="B93" i="26"/>
  <c r="B94" i="26"/>
  <c r="B95" i="26"/>
  <c r="B97" i="26"/>
  <c r="B98" i="26"/>
  <c r="B99" i="26"/>
  <c r="B100" i="26"/>
  <c r="B101" i="26"/>
  <c r="B102" i="26"/>
  <c r="B103" i="26"/>
  <c r="B104" i="26"/>
  <c r="B105" i="26"/>
  <c r="B107" i="26"/>
  <c r="B109" i="26"/>
  <c r="B110" i="26"/>
  <c r="B111" i="26"/>
  <c r="B112" i="26"/>
  <c r="B113" i="26"/>
  <c r="B114" i="26"/>
  <c r="B115" i="26"/>
  <c r="B116" i="26"/>
  <c r="B117" i="26"/>
  <c r="B119" i="26"/>
  <c r="I46" i="26"/>
  <c r="K87" i="26"/>
  <c r="K89" i="26"/>
  <c r="K90" i="26"/>
  <c r="K91" i="26"/>
  <c r="K92" i="26"/>
  <c r="K93" i="26"/>
  <c r="K94" i="26"/>
  <c r="K95" i="26"/>
  <c r="K96" i="26"/>
  <c r="K97" i="26"/>
  <c r="K98" i="26"/>
  <c r="K99" i="26"/>
  <c r="K100" i="26"/>
  <c r="K101" i="26"/>
  <c r="K102" i="26"/>
  <c r="K104" i="26"/>
  <c r="K105" i="26"/>
  <c r="K106" i="26"/>
  <c r="K108" i="26"/>
  <c r="K109" i="26"/>
  <c r="K110" i="26"/>
  <c r="K111" i="26"/>
  <c r="K112" i="26"/>
  <c r="K113" i="26"/>
  <c r="K115" i="26"/>
  <c r="K116" i="26"/>
  <c r="K117" i="26"/>
  <c r="K118" i="26"/>
  <c r="K119" i="26"/>
  <c r="J46" i="26"/>
  <c r="T86" i="26"/>
  <c r="T87" i="26"/>
  <c r="T88" i="26"/>
  <c r="T89" i="26"/>
  <c r="T90" i="26"/>
  <c r="T91" i="26"/>
  <c r="T92" i="26"/>
  <c r="T93" i="26"/>
  <c r="T94" i="26"/>
  <c r="T95" i="26"/>
  <c r="T96" i="26"/>
  <c r="T97" i="26"/>
  <c r="T98" i="26"/>
  <c r="T99" i="26"/>
  <c r="T102" i="26"/>
  <c r="T103" i="26"/>
  <c r="T104" i="26"/>
  <c r="T105" i="26"/>
  <c r="T106" i="26"/>
  <c r="T108" i="26"/>
  <c r="T109" i="26"/>
  <c r="T110" i="26"/>
  <c r="T112" i="26"/>
  <c r="T114" i="26"/>
  <c r="T115" i="26"/>
  <c r="T116" i="26"/>
  <c r="T117" i="26"/>
  <c r="T118" i="26"/>
  <c r="T119" i="26"/>
  <c r="K46" i="26"/>
  <c r="M46" i="26"/>
  <c r="H135" i="26"/>
  <c r="H136" i="26"/>
  <c r="H137" i="26"/>
  <c r="H138" i="26"/>
  <c r="H140" i="26"/>
  <c r="H141" i="26"/>
  <c r="H142" i="26"/>
  <c r="N46" i="26"/>
  <c r="M154" i="24"/>
  <c r="S195" i="24" s="1"/>
  <c r="S196" i="24" s="1"/>
  <c r="W194" i="24" s="1"/>
  <c r="M152" i="24"/>
  <c r="S206" i="24" s="1"/>
  <c r="S207" i="24" s="1"/>
  <c r="S219" i="24"/>
  <c r="S220" i="24" s="1"/>
  <c r="F3" i="21"/>
  <c r="R30" i="14"/>
  <c r="O30" i="14"/>
  <c r="G39" i="15"/>
  <c r="D61" i="15"/>
  <c r="E110" i="15" s="1"/>
  <c r="M30" i="14"/>
  <c r="L30" i="14"/>
  <c r="R29" i="14"/>
  <c r="O29" i="14"/>
  <c r="G38" i="15"/>
  <c r="D60" i="15"/>
  <c r="E109" i="15" s="1"/>
  <c r="M29" i="14"/>
  <c r="L29" i="14"/>
  <c r="R28" i="14"/>
  <c r="R25" i="14"/>
  <c r="O25" i="14"/>
  <c r="R24" i="14"/>
  <c r="R23" i="14"/>
  <c r="R22" i="14"/>
  <c r="R21" i="14"/>
  <c r="R20" i="14"/>
  <c r="R19" i="14"/>
  <c r="H8" i="10"/>
  <c r="G30" i="15"/>
  <c r="G32" i="15"/>
  <c r="D18" i="14"/>
  <c r="O24" i="14"/>
  <c r="G33" i="15"/>
  <c r="D55" i="15"/>
  <c r="G34" i="15"/>
  <c r="G35" i="15"/>
  <c r="G36" i="15"/>
  <c r="G37" i="15"/>
  <c r="G40" i="15"/>
  <c r="G41" i="15"/>
  <c r="G42" i="15"/>
  <c r="G43" i="15"/>
  <c r="G29" i="15"/>
  <c r="D51" i="15" s="1"/>
  <c r="E100" i="15" s="1"/>
  <c r="J40" i="26"/>
  <c r="I3" i="26"/>
  <c r="K3" i="26"/>
  <c r="J3" i="26"/>
  <c r="E19" i="25"/>
  <c r="E20" i="25"/>
  <c r="M5" i="25"/>
  <c r="K19" i="25"/>
  <c r="N4" i="25"/>
  <c r="R19" i="25"/>
  <c r="R20" i="25"/>
  <c r="O5" i="25"/>
  <c r="K20" i="25"/>
  <c r="E21" i="25"/>
  <c r="K21" i="25"/>
  <c r="R21" i="25"/>
  <c r="E22" i="25"/>
  <c r="K22" i="25"/>
  <c r="R22" i="25"/>
  <c r="E23" i="25"/>
  <c r="K23" i="25"/>
  <c r="R23" i="25"/>
  <c r="E24" i="25"/>
  <c r="K24" i="25"/>
  <c r="R24" i="25"/>
  <c r="E25" i="25"/>
  <c r="K25" i="25"/>
  <c r="R25" i="25"/>
  <c r="E26" i="25"/>
  <c r="K26" i="25"/>
  <c r="R26" i="25"/>
  <c r="E27" i="25"/>
  <c r="K27" i="25"/>
  <c r="R27" i="25"/>
  <c r="E28" i="25"/>
  <c r="K28" i="25"/>
  <c r="R28" i="25"/>
  <c r="E29" i="25"/>
  <c r="K29" i="25"/>
  <c r="R29" i="25"/>
  <c r="E30" i="25"/>
  <c r="K30" i="25"/>
  <c r="R30" i="25"/>
  <c r="E31" i="25"/>
  <c r="K31" i="25"/>
  <c r="R31" i="25"/>
  <c r="O17" i="24"/>
  <c r="AZ18" i="24"/>
  <c r="O19" i="24"/>
  <c r="S132" i="24" s="1"/>
  <c r="S133" i="24" s="1"/>
  <c r="AZ19" i="24"/>
  <c r="AZ20" i="24"/>
  <c r="AT22" i="24"/>
  <c r="AX22" i="24"/>
  <c r="AT23" i="24"/>
  <c r="AT24" i="24"/>
  <c r="AX26" i="24"/>
  <c r="AX27" i="24"/>
  <c r="AX30" i="24"/>
  <c r="AX31" i="24"/>
  <c r="S73" i="24"/>
  <c r="S74" i="24" s="1"/>
  <c r="V105" i="24"/>
  <c r="V219" i="24"/>
  <c r="M251" i="24"/>
  <c r="V312" i="24"/>
  <c r="L380" i="24"/>
  <c r="L397" i="24" s="1"/>
  <c r="L381" i="24"/>
  <c r="L398" i="24" s="1"/>
  <c r="L382" i="24"/>
  <c r="L399" i="24" s="1"/>
  <c r="L383" i="24"/>
  <c r="L400" i="24" s="1"/>
  <c r="L384" i="24"/>
  <c r="L401" i="24" s="1"/>
  <c r="L385" i="24"/>
  <c r="L402" i="24" s="1"/>
  <c r="L386" i="24"/>
  <c r="L403" i="24" s="1"/>
  <c r="L387" i="24"/>
  <c r="L404" i="24" s="1"/>
  <c r="L388" i="24"/>
  <c r="L389" i="24"/>
  <c r="L406" i="24" s="1"/>
  <c r="L390" i="24"/>
  <c r="L407" i="24" s="1"/>
  <c r="L391" i="24"/>
  <c r="L408" i="24" s="1"/>
  <c r="L392" i="24"/>
  <c r="L409" i="24" s="1"/>
  <c r="L393" i="24"/>
  <c r="L410" i="24"/>
  <c r="L394" i="24"/>
  <c r="L411" i="24"/>
  <c r="K397" i="24"/>
  <c r="K398" i="24"/>
  <c r="K399" i="24"/>
  <c r="K400" i="24"/>
  <c r="K401" i="24"/>
  <c r="K402" i="24"/>
  <c r="K403" i="24"/>
  <c r="K404" i="24"/>
  <c r="K405" i="24"/>
  <c r="L405" i="24"/>
  <c r="K406" i="24"/>
  <c r="K407" i="24"/>
  <c r="K408" i="24"/>
  <c r="K409" i="24"/>
  <c r="K410" i="24"/>
  <c r="K411" i="24"/>
  <c r="L437" i="24"/>
  <c r="L445" i="24" s="1"/>
  <c r="L438" i="24"/>
  <c r="L446" i="24" s="1"/>
  <c r="L439" i="24"/>
  <c r="L447" i="24"/>
  <c r="L440" i="24"/>
  <c r="L448" i="24"/>
  <c r="L441" i="24"/>
  <c r="L449" i="24"/>
  <c r="K445" i="24"/>
  <c r="K446" i="24"/>
  <c r="K447" i="24"/>
  <c r="K448" i="24"/>
  <c r="K449" i="24"/>
  <c r="N29" i="26"/>
  <c r="N28" i="26"/>
  <c r="L3" i="26"/>
  <c r="M3" i="26"/>
  <c r="N16" i="25"/>
  <c r="O15" i="25"/>
  <c r="M15" i="25"/>
  <c r="O14" i="25"/>
  <c r="M14" i="25"/>
  <c r="O13" i="25"/>
  <c r="M13" i="25"/>
  <c r="O12" i="25"/>
  <c r="M12" i="25"/>
  <c r="N11" i="25"/>
  <c r="N10" i="25"/>
  <c r="N9" i="25"/>
  <c r="N8" i="25"/>
  <c r="N7" i="25"/>
  <c r="O6" i="25"/>
  <c r="M6" i="25"/>
  <c r="N5" i="25"/>
  <c r="K5" i="25"/>
  <c r="O4" i="25"/>
  <c r="M4" i="25"/>
  <c r="K4" i="25"/>
  <c r="K81" i="26"/>
  <c r="I81" i="26"/>
  <c r="K78" i="26"/>
  <c r="I78" i="26"/>
  <c r="K75" i="26"/>
  <c r="I75" i="26"/>
  <c r="K72" i="26"/>
  <c r="I72" i="26"/>
  <c r="K71" i="26"/>
  <c r="I71" i="26"/>
  <c r="K70" i="26"/>
  <c r="I70" i="26"/>
  <c r="K69" i="26"/>
  <c r="I69" i="26"/>
  <c r="K68" i="26"/>
  <c r="I68" i="26"/>
  <c r="K67" i="26"/>
  <c r="I67" i="26"/>
  <c r="K52" i="26"/>
  <c r="I52" i="26"/>
  <c r="K49" i="26"/>
  <c r="I49" i="26"/>
  <c r="K43" i="26"/>
  <c r="I43" i="26"/>
  <c r="K40" i="26"/>
  <c r="I40" i="26"/>
  <c r="K39" i="26"/>
  <c r="I39" i="26"/>
  <c r="K37" i="26"/>
  <c r="I37" i="26"/>
  <c r="K35" i="26"/>
  <c r="I35" i="26"/>
  <c r="K31" i="26"/>
  <c r="I31" i="26"/>
  <c r="K30" i="26"/>
  <c r="I30" i="26"/>
  <c r="K27" i="26"/>
  <c r="I27" i="26"/>
  <c r="K25" i="26"/>
  <c r="I25" i="26"/>
  <c r="K23" i="26"/>
  <c r="I23" i="26"/>
  <c r="K21" i="26"/>
  <c r="I21" i="26"/>
  <c r="K19" i="26"/>
  <c r="I19" i="26"/>
  <c r="K17" i="26"/>
  <c r="I17" i="26"/>
  <c r="K15" i="26"/>
  <c r="I15" i="26"/>
  <c r="K14" i="26"/>
  <c r="I14" i="26"/>
  <c r="K13" i="26"/>
  <c r="I13" i="26"/>
  <c r="K12" i="26"/>
  <c r="I12" i="26"/>
  <c r="K11" i="26"/>
  <c r="I11" i="26"/>
  <c r="K9" i="26"/>
  <c r="I9" i="26"/>
  <c r="K7" i="26"/>
  <c r="I7" i="26"/>
  <c r="K5" i="26"/>
  <c r="I5" i="26"/>
  <c r="O16" i="25"/>
  <c r="M16" i="25"/>
  <c r="N15" i="25"/>
  <c r="N14" i="25"/>
  <c r="N13" i="25"/>
  <c r="N12" i="25"/>
  <c r="O11" i="25"/>
  <c r="M11" i="25"/>
  <c r="O10" i="25"/>
  <c r="M10" i="25"/>
  <c r="O9" i="25"/>
  <c r="M9" i="25"/>
  <c r="O8" i="25"/>
  <c r="M8" i="25"/>
  <c r="O7" i="25"/>
  <c r="M7" i="25"/>
  <c r="N6" i="25"/>
  <c r="J81" i="26"/>
  <c r="J78" i="26"/>
  <c r="J75" i="26"/>
  <c r="J72" i="26"/>
  <c r="J71" i="26"/>
  <c r="J70" i="26"/>
  <c r="J69" i="26"/>
  <c r="J68" i="26"/>
  <c r="J67" i="26"/>
  <c r="J52" i="26"/>
  <c r="J49" i="26"/>
  <c r="J43" i="26"/>
  <c r="J39" i="26"/>
  <c r="J37" i="26"/>
  <c r="J35" i="26"/>
  <c r="J31" i="26"/>
  <c r="J30" i="26"/>
  <c r="J27" i="26"/>
  <c r="J25" i="26"/>
  <c r="J23" i="26"/>
  <c r="J21" i="26"/>
  <c r="J19" i="26"/>
  <c r="J17" i="26"/>
  <c r="J15" i="26"/>
  <c r="J14" i="26"/>
  <c r="J13" i="26"/>
  <c r="J12" i="26"/>
  <c r="J11" i="26"/>
  <c r="J9" i="26"/>
  <c r="J7" i="26"/>
  <c r="J5" i="26"/>
  <c r="Q51" i="7"/>
  <c r="P51" i="7"/>
  <c r="O51" i="7"/>
  <c r="N51" i="7"/>
  <c r="M51" i="7"/>
  <c r="L51" i="7"/>
  <c r="K51" i="7"/>
  <c r="J51" i="7"/>
  <c r="C227" i="21"/>
  <c r="L5" i="26"/>
  <c r="M5" i="26"/>
  <c r="L7" i="26"/>
  <c r="M7" i="26"/>
  <c r="L9" i="26"/>
  <c r="M9" i="26"/>
  <c r="L11" i="26"/>
  <c r="M11" i="26"/>
  <c r="N11" i="26"/>
  <c r="L12" i="26"/>
  <c r="M12" i="26"/>
  <c r="N12" i="26"/>
  <c r="L13" i="26"/>
  <c r="M13" i="26"/>
  <c r="N13" i="26"/>
  <c r="L14" i="26"/>
  <c r="M14" i="26"/>
  <c r="N14" i="26"/>
  <c r="L15" i="26"/>
  <c r="M15" i="26"/>
  <c r="L17" i="26"/>
  <c r="M17" i="26"/>
  <c r="L19" i="26"/>
  <c r="M19" i="26"/>
  <c r="L21" i="26"/>
  <c r="M21" i="26"/>
  <c r="L23" i="26"/>
  <c r="M23" i="26"/>
  <c r="L25" i="26"/>
  <c r="M25" i="26"/>
  <c r="L27" i="26"/>
  <c r="M27" i="26"/>
  <c r="N27" i="26"/>
  <c r="L30" i="26"/>
  <c r="M30" i="26"/>
  <c r="N30" i="26"/>
  <c r="L31" i="26"/>
  <c r="M31" i="26"/>
  <c r="L35" i="26"/>
  <c r="M35" i="26"/>
  <c r="L37" i="26"/>
  <c r="M37" i="26"/>
  <c r="L39" i="26"/>
  <c r="M39" i="26"/>
  <c r="L40" i="26"/>
  <c r="M40" i="26"/>
  <c r="N40" i="26"/>
  <c r="L43" i="26"/>
  <c r="M43" i="26"/>
  <c r="L46" i="26"/>
  <c r="L49" i="26"/>
  <c r="M49" i="26"/>
  <c r="L52" i="26"/>
  <c r="M52" i="26"/>
  <c r="L67" i="26"/>
  <c r="M67" i="26"/>
  <c r="N67" i="26"/>
  <c r="L68" i="26"/>
  <c r="M68" i="26"/>
  <c r="N68" i="26"/>
  <c r="L69" i="26"/>
  <c r="M69" i="26"/>
  <c r="N69" i="26"/>
  <c r="L70" i="26"/>
  <c r="M70" i="26"/>
  <c r="N70" i="26"/>
  <c r="L71" i="26"/>
  <c r="M71" i="26"/>
  <c r="N71" i="26"/>
  <c r="L72" i="26"/>
  <c r="M72" i="26"/>
  <c r="L75" i="26"/>
  <c r="M75" i="26"/>
  <c r="L78" i="26"/>
  <c r="M78" i="26"/>
  <c r="L81" i="26"/>
  <c r="M81" i="26"/>
  <c r="N3" i="26"/>
  <c r="M4" i="26"/>
  <c r="N4" i="26"/>
  <c r="K12" i="25"/>
  <c r="K13" i="25"/>
  <c r="K14" i="25"/>
  <c r="K15" i="25"/>
  <c r="K7" i="25"/>
  <c r="K8" i="25"/>
  <c r="K6" i="25"/>
  <c r="K9" i="25"/>
  <c r="K10" i="25"/>
  <c r="K11" i="25"/>
  <c r="K16" i="25"/>
  <c r="Q7" i="25"/>
  <c r="C44" i="22"/>
  <c r="N81" i="26"/>
  <c r="M82" i="26"/>
  <c r="N82" i="26"/>
  <c r="M83" i="26"/>
  <c r="N83" i="26"/>
  <c r="N78" i="26"/>
  <c r="M79" i="26"/>
  <c r="N79" i="26"/>
  <c r="M80" i="26"/>
  <c r="N80" i="26"/>
  <c r="N75" i="26"/>
  <c r="M76" i="26"/>
  <c r="N76" i="26"/>
  <c r="M77" i="26"/>
  <c r="N77" i="26"/>
  <c r="N72" i="26"/>
  <c r="M73" i="26"/>
  <c r="N73" i="26"/>
  <c r="M74" i="26"/>
  <c r="N74" i="26"/>
  <c r="N52" i="26"/>
  <c r="M53" i="26"/>
  <c r="M54" i="26"/>
  <c r="M64" i="26"/>
  <c r="N64" i="26"/>
  <c r="N49" i="26"/>
  <c r="M50" i="26"/>
  <c r="M51" i="26"/>
  <c r="M61" i="26"/>
  <c r="N61" i="26"/>
  <c r="M47" i="26"/>
  <c r="M48" i="26"/>
  <c r="M58" i="26"/>
  <c r="N58" i="26"/>
  <c r="N43" i="26"/>
  <c r="M44" i="26"/>
  <c r="M45" i="26"/>
  <c r="M55" i="26"/>
  <c r="N55" i="26"/>
  <c r="N39" i="26"/>
  <c r="M41" i="26"/>
  <c r="N41" i="26"/>
  <c r="M42" i="26"/>
  <c r="N42" i="26"/>
  <c r="N37" i="26"/>
  <c r="M38" i="26"/>
  <c r="N38" i="26"/>
  <c r="N35" i="26"/>
  <c r="M36" i="26"/>
  <c r="N36" i="26"/>
  <c r="N31" i="26"/>
  <c r="M32" i="26"/>
  <c r="N32" i="26"/>
  <c r="M33" i="26"/>
  <c r="N33" i="26"/>
  <c r="M34" i="26"/>
  <c r="N34" i="26"/>
  <c r="N25" i="26"/>
  <c r="M26" i="26"/>
  <c r="N26" i="26"/>
  <c r="N23" i="26"/>
  <c r="M24" i="26"/>
  <c r="N24" i="26"/>
  <c r="N21" i="26"/>
  <c r="M22" i="26"/>
  <c r="N22" i="26"/>
  <c r="N19" i="26"/>
  <c r="M20" i="26"/>
  <c r="N20" i="26"/>
  <c r="N17" i="26"/>
  <c r="M18" i="26"/>
  <c r="N18" i="26"/>
  <c r="N15" i="26"/>
  <c r="M16" i="26"/>
  <c r="N16" i="26"/>
  <c r="N9" i="26"/>
  <c r="M10" i="26"/>
  <c r="N10" i="26"/>
  <c r="N7" i="26"/>
  <c r="M8" i="26"/>
  <c r="N8" i="26"/>
  <c r="N5" i="26"/>
  <c r="M6" i="26"/>
  <c r="N6" i="26"/>
  <c r="Q8" i="25"/>
  <c r="Q9" i="25"/>
  <c r="Q10" i="25"/>
  <c r="Q12" i="25"/>
  <c r="Q13" i="25"/>
  <c r="Q14" i="25"/>
  <c r="L4" i="25"/>
  <c r="L5" i="25"/>
  <c r="L10" i="25"/>
  <c r="L6" i="25"/>
  <c r="L9" i="25"/>
  <c r="L14" i="25"/>
  <c r="L8" i="25"/>
  <c r="L7" i="25"/>
  <c r="N44" i="26"/>
  <c r="M56" i="26"/>
  <c r="N56" i="26"/>
  <c r="N47" i="26"/>
  <c r="M59" i="26"/>
  <c r="N59" i="26"/>
  <c r="N50" i="26"/>
  <c r="M62" i="26"/>
  <c r="N62" i="26"/>
  <c r="N53" i="26"/>
  <c r="M65" i="26"/>
  <c r="N65" i="26"/>
  <c r="N45" i="26"/>
  <c r="M57" i="26"/>
  <c r="N57" i="26"/>
  <c r="N48" i="26"/>
  <c r="M60" i="26"/>
  <c r="N60" i="26"/>
  <c r="N51" i="26"/>
  <c r="M63" i="26"/>
  <c r="N63" i="26"/>
  <c r="N54" i="26"/>
  <c r="M66" i="26"/>
  <c r="N66" i="26"/>
  <c r="G20" i="21"/>
  <c r="G21" i="21"/>
  <c r="G22" i="21"/>
  <c r="G23" i="21"/>
  <c r="G27" i="21"/>
  <c r="G29" i="21"/>
  <c r="F29" i="21" s="1"/>
  <c r="G33" i="21"/>
  <c r="G34" i="21"/>
  <c r="G35" i="21"/>
  <c r="G36" i="21"/>
  <c r="G37" i="21"/>
  <c r="G38" i="21"/>
  <c r="G39" i="21"/>
  <c r="G40" i="21"/>
  <c r="G41" i="21"/>
  <c r="G42" i="21"/>
  <c r="G44" i="21"/>
  <c r="G45" i="21"/>
  <c r="G46" i="21"/>
  <c r="G47" i="21"/>
  <c r="G48" i="21"/>
  <c r="L13" i="25"/>
  <c r="L11" i="25"/>
  <c r="L16" i="25"/>
  <c r="L15" i="25"/>
  <c r="L12" i="25"/>
  <c r="E60" i="21"/>
  <c r="F60" i="21"/>
  <c r="D16" i="14"/>
  <c r="O20" i="14"/>
  <c r="E54" i="17"/>
  <c r="F7" i="15"/>
  <c r="H7" i="15"/>
  <c r="F51" i="15"/>
  <c r="I100" i="15" s="1"/>
  <c r="F8" i="15"/>
  <c r="H8" i="15"/>
  <c r="F52" i="15"/>
  <c r="I101" i="15" s="1"/>
  <c r="F9" i="15"/>
  <c r="H9" i="15"/>
  <c r="F10" i="15"/>
  <c r="H10" i="15"/>
  <c r="F54" i="15"/>
  <c r="I103" i="15" s="1"/>
  <c r="F11" i="15"/>
  <c r="H11" i="15"/>
  <c r="F12" i="15"/>
  <c r="H12" i="15"/>
  <c r="F13" i="15"/>
  <c r="H13" i="15"/>
  <c r="F57" i="15"/>
  <c r="I106" i="15" s="1"/>
  <c r="F14" i="15"/>
  <c r="F15" i="15"/>
  <c r="H15" i="15"/>
  <c r="F16" i="15"/>
  <c r="D56" i="15"/>
  <c r="E105" i="15" s="1"/>
  <c r="H16" i="15"/>
  <c r="F17" i="15"/>
  <c r="H17" i="15"/>
  <c r="F18" i="15"/>
  <c r="H18" i="15"/>
  <c r="F19" i="15"/>
  <c r="H19" i="15"/>
  <c r="F20" i="15"/>
  <c r="H20" i="15"/>
  <c r="D57" i="15"/>
  <c r="E51" i="15"/>
  <c r="D100" i="15" s="1"/>
  <c r="E52" i="15"/>
  <c r="D101" i="15" s="1"/>
  <c r="D53" i="15"/>
  <c r="E53" i="15"/>
  <c r="D102" i="15" s="1"/>
  <c r="E54" i="15"/>
  <c r="D103" i="15" s="1"/>
  <c r="E55" i="15"/>
  <c r="D104" i="15" s="1"/>
  <c r="F55" i="15"/>
  <c r="I104" i="15" s="1"/>
  <c r="E56" i="15"/>
  <c r="D105" i="15" s="1"/>
  <c r="E57" i="15"/>
  <c r="D106" i="15" s="1"/>
  <c r="D58" i="15"/>
  <c r="E58" i="15"/>
  <c r="D107" i="15" s="1"/>
  <c r="D59" i="15"/>
  <c r="E108" i="15" s="1"/>
  <c r="E59" i="15"/>
  <c r="D108" i="15" s="1"/>
  <c r="F59" i="15"/>
  <c r="I108" i="15" s="1"/>
  <c r="E60" i="15"/>
  <c r="D109" i="15" s="1"/>
  <c r="F60" i="15"/>
  <c r="I109" i="15" s="1"/>
  <c r="E61" i="15"/>
  <c r="D110" i="15" s="1"/>
  <c r="F61" i="15"/>
  <c r="I110" i="15" s="1"/>
  <c r="C126" i="15"/>
  <c r="C127" i="15"/>
  <c r="C128" i="15"/>
  <c r="C130" i="15"/>
  <c r="C129" i="15"/>
  <c r="C134" i="15"/>
  <c r="C136" i="15"/>
  <c r="C137" i="15"/>
  <c r="B71" i="15"/>
  <c r="B72" i="15"/>
  <c r="B73" i="15"/>
  <c r="B74" i="15"/>
  <c r="B75" i="15"/>
  <c r="B76" i="15"/>
  <c r="B77" i="15"/>
  <c r="B78" i="15"/>
  <c r="B79" i="15"/>
  <c r="B80" i="15"/>
  <c r="B81" i="15"/>
  <c r="B82" i="15"/>
  <c r="B83" i="15"/>
  <c r="B84" i="15"/>
  <c r="B85" i="15"/>
  <c r="B86" i="15"/>
  <c r="B87" i="15"/>
  <c r="B88" i="15"/>
  <c r="B89" i="15"/>
  <c r="G31" i="15"/>
  <c r="E102" i="15" s="1"/>
  <c r="D19" i="14"/>
  <c r="O22" i="14"/>
  <c r="G22" i="14"/>
  <c r="G23" i="14"/>
  <c r="D28" i="14"/>
  <c r="H14" i="15"/>
  <c r="F58" i="15"/>
  <c r="I107" i="15" s="1"/>
  <c r="D31" i="14"/>
  <c r="O21" i="14"/>
  <c r="F56" i="15"/>
  <c r="I105" i="15" s="1"/>
  <c r="E74" i="15"/>
  <c r="E78" i="15"/>
  <c r="E89" i="15"/>
  <c r="D21" i="14"/>
  <c r="O19" i="14"/>
  <c r="O23" i="14"/>
  <c r="G19" i="14"/>
  <c r="G18" i="14"/>
  <c r="G20" i="14"/>
  <c r="G17" i="14"/>
  <c r="G21" i="14"/>
  <c r="D54" i="15"/>
  <c r="E103" i="15" s="1"/>
  <c r="D52" i="15"/>
  <c r="H6" i="12"/>
  <c r="G32" i="11"/>
  <c r="G48" i="11"/>
  <c r="G49" i="11"/>
  <c r="G50" i="11"/>
  <c r="G51" i="11"/>
  <c r="I48" i="11"/>
  <c r="Q52" i="7"/>
  <c r="Q54" i="7"/>
  <c r="O52" i="7"/>
  <c r="O54" i="7"/>
  <c r="G25" i="21"/>
  <c r="F26" i="21" s="1"/>
  <c r="X94" i="24"/>
  <c r="E76" i="15"/>
  <c r="E83" i="15"/>
  <c r="E79" i="15"/>
  <c r="F53" i="15"/>
  <c r="I102" i="15" s="1"/>
  <c r="H64" i="21" l="1"/>
  <c r="G96" i="21"/>
  <c r="F25" i="21"/>
  <c r="F64" i="21"/>
  <c r="G72" i="21"/>
  <c r="F72" i="21" s="1"/>
  <c r="I42" i="21"/>
  <c r="I54" i="21" s="1"/>
  <c r="G54" i="21" s="1"/>
  <c r="H54" i="21" s="1"/>
  <c r="F54" i="21" s="1"/>
  <c r="G43" i="21"/>
  <c r="H43" i="21" s="1"/>
  <c r="H66" i="21"/>
  <c r="F66" i="21" s="1"/>
  <c r="H50" i="21"/>
  <c r="C107" i="16"/>
  <c r="E87" i="15"/>
  <c r="E86" i="15"/>
  <c r="E85" i="15"/>
  <c r="E84" i="15"/>
  <c r="E82" i="15"/>
  <c r="E81" i="15"/>
  <c r="E80" i="15"/>
  <c r="E77" i="15"/>
  <c r="D120" i="16"/>
  <c r="D118" i="16"/>
  <c r="E75" i="15"/>
  <c r="E73" i="15"/>
  <c r="D119" i="16"/>
  <c r="C20" i="16"/>
  <c r="D117" i="16"/>
  <c r="E71" i="15"/>
  <c r="D52" i="17"/>
  <c r="E53" i="17" s="1"/>
  <c r="AA274" i="24"/>
  <c r="AA226" i="24"/>
  <c r="M393" i="24" s="1"/>
  <c r="M410" i="24" s="1"/>
  <c r="AA235" i="24"/>
  <c r="M394" i="24" s="1"/>
  <c r="M411" i="24" s="1"/>
  <c r="W60" i="24"/>
  <c r="S119" i="24"/>
  <c r="S120" i="24" s="1"/>
  <c r="Z119" i="24" s="1"/>
  <c r="W119" i="24" s="1"/>
  <c r="AA51" i="24"/>
  <c r="AA319" i="24"/>
  <c r="M440" i="24" s="1"/>
  <c r="M448" i="24" s="1"/>
  <c r="AA328" i="24"/>
  <c r="M441" i="24" s="1"/>
  <c r="M449" i="24" s="1"/>
  <c r="S83" i="24"/>
  <c r="S84" i="24" s="1"/>
  <c r="AA56" i="24"/>
  <c r="V212" i="24"/>
  <c r="W218" i="24"/>
  <c r="W219" i="24" s="1"/>
  <c r="AA219" i="24" s="1"/>
  <c r="M392" i="24" s="1"/>
  <c r="M409" i="24" s="1"/>
  <c r="V305" i="24"/>
  <c r="W311" i="24"/>
  <c r="W312" i="24" s="1"/>
  <c r="AA312" i="24" s="1"/>
  <c r="M439" i="24" s="1"/>
  <c r="M447" i="24" s="1"/>
  <c r="V205" i="24"/>
  <c r="V198" i="24"/>
  <c r="V298" i="24"/>
  <c r="V291" i="24"/>
  <c r="T40" i="24"/>
  <c r="S41" i="24"/>
  <c r="U39" i="24" s="1"/>
  <c r="U40" i="24" s="1"/>
  <c r="AA40" i="24" s="1"/>
  <c r="M380" i="24" s="1"/>
  <c r="M397" i="24" s="1"/>
  <c r="U83" i="24"/>
  <c r="AA83" i="24" s="1"/>
  <c r="M384" i="24" s="1"/>
  <c r="M401" i="24" s="1"/>
  <c r="S63" i="24"/>
  <c r="S64" i="24" s="1"/>
  <c r="X63" i="24" s="1"/>
  <c r="U63" i="24" s="1"/>
  <c r="W281" i="24"/>
  <c r="AA269" i="24"/>
  <c r="V110" i="24"/>
  <c r="X90" i="24"/>
  <c r="U73" i="24"/>
  <c r="AA73" i="24" s="1"/>
  <c r="M383" i="24" s="1"/>
  <c r="M400" i="24" s="1"/>
  <c r="W130" i="24"/>
  <c r="W132" i="24" s="1"/>
  <c r="AA132" i="24" s="1"/>
  <c r="M388" i="24" s="1"/>
  <c r="M405" i="24" s="1"/>
  <c r="M247" i="24"/>
  <c r="U99" i="24"/>
  <c r="AA99" i="24" s="1"/>
  <c r="M385" i="24" s="1"/>
  <c r="M402" i="24" s="1"/>
  <c r="AA110" i="24"/>
  <c r="AA119" i="24" s="1"/>
  <c r="M387" i="24" s="1"/>
  <c r="M404" i="24" s="1"/>
  <c r="X86" i="24"/>
  <c r="W51" i="24"/>
  <c r="Y195" i="24"/>
  <c r="X195" i="24"/>
  <c r="W195" i="24"/>
  <c r="C53" i="22"/>
  <c r="C54" i="22" s="1"/>
  <c r="C48" i="22"/>
  <c r="C52" i="22"/>
  <c r="C61" i="22"/>
  <c r="E106" i="15"/>
  <c r="H106" i="15" s="1"/>
  <c r="E107" i="15"/>
  <c r="F107" i="15" s="1"/>
  <c r="E104" i="15"/>
  <c r="G104" i="15" s="1"/>
  <c r="I99" i="15"/>
  <c r="I98" i="15" s="1"/>
  <c r="E101" i="15"/>
  <c r="F101" i="15" s="1"/>
  <c r="F103" i="15"/>
  <c r="H103" i="15"/>
  <c r="G106" i="15"/>
  <c r="F106" i="15"/>
  <c r="G107" i="15"/>
  <c r="F105" i="15"/>
  <c r="H105" i="15"/>
  <c r="G105" i="15"/>
  <c r="H110" i="15"/>
  <c r="F110" i="15"/>
  <c r="G110" i="15"/>
  <c r="G108" i="15"/>
  <c r="H108" i="15"/>
  <c r="F108" i="15"/>
  <c r="H102" i="15"/>
  <c r="F102" i="15"/>
  <c r="G102" i="15"/>
  <c r="D99" i="15"/>
  <c r="G109" i="15"/>
  <c r="F109" i="15"/>
  <c r="H109" i="15"/>
  <c r="G100" i="15"/>
  <c r="H100" i="15"/>
  <c r="F100" i="15"/>
  <c r="G103" i="15"/>
  <c r="F96" i="21" l="1"/>
  <c r="H96" i="21"/>
  <c r="G92" i="21"/>
  <c r="H92" i="21"/>
  <c r="C225" i="21" s="1"/>
  <c r="D121" i="16"/>
  <c r="D57" i="17"/>
  <c r="D58" i="17" s="1"/>
  <c r="G45" i="7"/>
  <c r="F45" i="7" s="1"/>
  <c r="V63" i="24"/>
  <c r="AA63" i="24" s="1"/>
  <c r="M382" i="24" s="1"/>
  <c r="M399" i="24" s="1"/>
  <c r="S288" i="24"/>
  <c r="S289" i="24" s="1"/>
  <c r="W287" i="24" s="1"/>
  <c r="M253" i="24"/>
  <c r="W299" i="24"/>
  <c r="V299" i="24"/>
  <c r="AA299" i="24" s="1"/>
  <c r="M438" i="24" s="1"/>
  <c r="M446" i="24" s="1"/>
  <c r="V206" i="24"/>
  <c r="AA206" i="24" s="1"/>
  <c r="M391" i="24" s="1"/>
  <c r="M408" i="24" s="1"/>
  <c r="W206" i="24"/>
  <c r="AA195" i="24"/>
  <c r="M390" i="24" s="1"/>
  <c r="M407" i="24" s="1"/>
  <c r="K423" i="24"/>
  <c r="K424" i="24"/>
  <c r="C49" i="22"/>
  <c r="C50" i="22"/>
  <c r="C55" i="22"/>
  <c r="C56" i="22"/>
  <c r="F104" i="15"/>
  <c r="H104" i="15"/>
  <c r="H107" i="15"/>
  <c r="G101" i="15"/>
  <c r="G99" i="15" s="1"/>
  <c r="G98" i="15" s="1"/>
  <c r="E99" i="15"/>
  <c r="E98" i="15" s="1"/>
  <c r="A105" i="15" s="1"/>
  <c r="H101" i="15"/>
  <c r="H99" i="15" s="1"/>
  <c r="F99" i="15"/>
  <c r="I117" i="15"/>
  <c r="I118" i="15"/>
  <c r="I116" i="15"/>
  <c r="D98" i="15"/>
  <c r="Q19" i="14"/>
  <c r="P19" i="14"/>
  <c r="C226" i="21" l="1"/>
  <c r="F92" i="21" s="1"/>
  <c r="G46" i="7" s="1"/>
  <c r="F46" i="7" s="1"/>
  <c r="M52" i="7"/>
  <c r="M54" i="7" s="1"/>
  <c r="K422" i="24"/>
  <c r="Y288" i="24"/>
  <c r="W288" i="24"/>
  <c r="X288" i="24"/>
  <c r="K425" i="24"/>
  <c r="C67" i="22"/>
  <c r="C72" i="22" s="1"/>
  <c r="C45" i="22"/>
  <c r="C80" i="22" s="1"/>
  <c r="G48" i="7" s="1"/>
  <c r="F98" i="15"/>
  <c r="F116" i="15" s="1"/>
  <c r="H98" i="15"/>
  <c r="H118" i="15" s="1"/>
  <c r="E118" i="15"/>
  <c r="S137" i="15"/>
  <c r="A108" i="15"/>
  <c r="A103" i="15"/>
  <c r="A101" i="15"/>
  <c r="F118" i="15"/>
  <c r="E116" i="15"/>
  <c r="E117" i="15"/>
  <c r="A99" i="15"/>
  <c r="A109" i="15"/>
  <c r="A107" i="15"/>
  <c r="E129" i="15"/>
  <c r="F129" i="15" s="1"/>
  <c r="A104" i="15"/>
  <c r="A100" i="15"/>
  <c r="A102" i="15"/>
  <c r="A110" i="15"/>
  <c r="A106" i="15"/>
  <c r="H117" i="15"/>
  <c r="G118" i="15"/>
  <c r="G117" i="15"/>
  <c r="G116" i="15"/>
  <c r="E96" i="21" l="1"/>
  <c r="N52" i="7"/>
  <c r="N54" i="7" s="1"/>
  <c r="K426" i="24"/>
  <c r="M422" i="24" s="1"/>
  <c r="L419" i="24" s="1"/>
  <c r="AA288" i="24"/>
  <c r="M437" i="24" s="1"/>
  <c r="P52" i="7"/>
  <c r="P54" i="7" s="1"/>
  <c r="F48" i="7"/>
  <c r="H116" i="15"/>
  <c r="F117" i="15"/>
  <c r="H129" i="15"/>
  <c r="E128" i="15"/>
  <c r="E127" i="15" s="1"/>
  <c r="E126" i="15" s="1"/>
  <c r="E125" i="15" s="1"/>
  <c r="H125" i="15" s="1"/>
  <c r="I129" i="15"/>
  <c r="I125" i="15"/>
  <c r="G129" i="15"/>
  <c r="M424" i="24" l="1"/>
  <c r="K463" i="24"/>
  <c r="M445" i="24"/>
  <c r="K461" i="24"/>
  <c r="K464" i="24"/>
  <c r="K462" i="24"/>
  <c r="G42" i="7"/>
  <c r="R149" i="24"/>
  <c r="R12" i="24"/>
  <c r="G125" i="15"/>
  <c r="G119" i="15" s="1"/>
  <c r="F125" i="15"/>
  <c r="S130" i="15" s="1"/>
  <c r="S131" i="15" s="1"/>
  <c r="I126" i="15"/>
  <c r="I131" i="15"/>
  <c r="I119" i="15"/>
  <c r="I128" i="15"/>
  <c r="I127" i="15"/>
  <c r="H126" i="15"/>
  <c r="H128" i="15"/>
  <c r="H127" i="15"/>
  <c r="H119" i="15"/>
  <c r="K465" i="24" l="1"/>
  <c r="M463" i="24" s="1"/>
  <c r="M461" i="24"/>
  <c r="L458" i="24" s="1"/>
  <c r="F42" i="7"/>
  <c r="J52" i="7"/>
  <c r="J54" i="7" s="1"/>
  <c r="G128" i="15"/>
  <c r="G126" i="15"/>
  <c r="G127" i="15"/>
  <c r="G44" i="7"/>
  <c r="F44" i="7" s="1"/>
  <c r="F126" i="15"/>
  <c r="F127" i="15"/>
  <c r="F131" i="15" s="1"/>
  <c r="S139" i="15"/>
  <c r="S138" i="15"/>
  <c r="F128" i="15"/>
  <c r="F119" i="15"/>
  <c r="H131" i="15"/>
  <c r="G131" i="15"/>
  <c r="R244" i="24" l="1"/>
  <c r="G43" i="7"/>
  <c r="L52" i="7"/>
  <c r="L54" i="7" s="1"/>
  <c r="F43" i="7" l="1"/>
  <c r="K52" i="7"/>
  <c r="K54" i="7" s="1"/>
</calcChain>
</file>

<file path=xl/comments1.xml><?xml version="1.0" encoding="utf-8"?>
<comments xmlns="http://schemas.openxmlformats.org/spreadsheetml/2006/main">
  <authors>
    <author>Author</author>
  </authors>
  <commentList>
    <comment ref="U39" authorId="0">
      <text>
        <r>
          <rPr>
            <b/>
            <sz val="8"/>
            <color indexed="81"/>
            <rFont val="Tahoma"/>
            <family val="2"/>
          </rPr>
          <t>Contrôle si surfaces encodées supérieures à la surface réelle</t>
        </r>
        <r>
          <rPr>
            <sz val="8"/>
            <color indexed="81"/>
            <rFont val="Tahoma"/>
            <family val="2"/>
          </rPr>
          <t xml:space="preserve">
</t>
        </r>
      </text>
    </comment>
    <comment ref="V63" authorId="0">
      <text>
        <r>
          <rPr>
            <b/>
            <sz val="8"/>
            <color indexed="81"/>
            <rFont val="Tahoma"/>
            <family val="2"/>
          </rPr>
          <t>Author:</t>
        </r>
        <r>
          <rPr>
            <sz val="8"/>
            <color indexed="81"/>
            <rFont val="Tahoma"/>
            <family val="2"/>
          </rPr>
          <t xml:space="preserve">
Maintenance</t>
        </r>
      </text>
    </comment>
    <comment ref="X63" authorId="0">
      <text>
        <r>
          <rPr>
            <b/>
            <sz val="8"/>
            <color indexed="81"/>
            <rFont val="Tahoma"/>
            <family val="2"/>
          </rPr>
          <t>Contrôle si surfaces encodées supérieures à la surface réelle</t>
        </r>
        <r>
          <rPr>
            <sz val="8"/>
            <color indexed="81"/>
            <rFont val="Tahoma"/>
            <family val="2"/>
          </rPr>
          <t xml:space="preserve">
</t>
        </r>
      </text>
    </comment>
    <comment ref="S67" authorId="0">
      <text>
        <r>
          <rPr>
            <b/>
            <sz val="8"/>
            <color indexed="81"/>
            <rFont val="Tahoma"/>
            <family val="2"/>
          </rPr>
          <t>Author:</t>
        </r>
        <r>
          <rPr>
            <sz val="8"/>
            <color indexed="81"/>
            <rFont val="Tahoma"/>
            <family val="2"/>
          </rPr>
          <t xml:space="preserve">
Valeur source issue des caractéristiques physiques du projet</t>
        </r>
      </text>
    </comment>
    <comment ref="Y99" authorId="0">
      <text>
        <r>
          <rPr>
            <b/>
            <sz val="8"/>
            <color indexed="81"/>
            <rFont val="Tahoma"/>
            <family val="2"/>
          </rPr>
          <t>Contrôle si surfaces encodées supérieures à la surface réelle</t>
        </r>
        <r>
          <rPr>
            <sz val="8"/>
            <color indexed="81"/>
            <rFont val="Tahoma"/>
            <family val="2"/>
          </rPr>
          <t xml:space="preserve">
</t>
        </r>
      </text>
    </comment>
    <comment ref="K101" authorId="0">
      <text>
        <r>
          <rPr>
            <sz val="8"/>
            <color indexed="81"/>
            <rFont val="Tahoma"/>
            <family val="2"/>
          </rPr>
          <t>La réduction de la quantité des matériaux mis en œuvre permet, outre de réduire les coûts de construction, de réduire l'impact environnemental global du bâtiment. Parmi les points forts: la préservation des ressources (matière première); la réduction des consommations énergétiques et des émissions dues au process de fabrication et au transport, la réduction de la production de déchets du 'berceau à la tombe'.</t>
        </r>
      </text>
    </comment>
    <comment ref="Z119" authorId="0">
      <text>
        <r>
          <rPr>
            <b/>
            <sz val="8"/>
            <color indexed="81"/>
            <rFont val="Tahoma"/>
            <family val="2"/>
          </rPr>
          <t>Contrôle si surfaces encodées supérieures à la surface réelle</t>
        </r>
        <r>
          <rPr>
            <sz val="8"/>
            <color indexed="81"/>
            <rFont val="Tahoma"/>
            <family val="2"/>
          </rPr>
          <t xml:space="preserve">
</t>
        </r>
      </text>
    </comment>
    <comment ref="W130" authorId="0">
      <text>
        <r>
          <rPr>
            <b/>
            <sz val="8"/>
            <color indexed="81"/>
            <rFont val="Tahoma"/>
            <family val="2"/>
          </rPr>
          <t>Contrôle si surfaces encodées supérieures à la surface réelle</t>
        </r>
        <r>
          <rPr>
            <sz val="8"/>
            <color indexed="81"/>
            <rFont val="Tahoma"/>
            <family val="2"/>
          </rPr>
          <t xml:space="preserve">
</t>
        </r>
      </text>
    </comment>
    <comment ref="AF176" authorId="0">
      <text>
        <r>
          <rPr>
            <b/>
            <sz val="8"/>
            <color indexed="81"/>
            <rFont val="Tahoma"/>
            <family val="2"/>
          </rPr>
          <t>Author:</t>
        </r>
        <r>
          <rPr>
            <sz val="8"/>
            <color indexed="81"/>
            <rFont val="Tahoma"/>
            <family val="2"/>
          </rPr>
          <t xml:space="preserve">
Mis à 1 car pas autres alternatives en voirie voitures et identique asphalte</t>
        </r>
      </text>
    </comment>
    <comment ref="AF177" authorId="0">
      <text>
        <r>
          <rPr>
            <b/>
            <sz val="8"/>
            <color indexed="81"/>
            <rFont val="Tahoma"/>
            <family val="2"/>
          </rPr>
          <t>Author:</t>
        </r>
        <r>
          <rPr>
            <sz val="8"/>
            <color indexed="81"/>
            <rFont val="Tahoma"/>
            <family val="2"/>
          </rPr>
          <t xml:space="preserve">
Considéré 1 (100% valeur dans formule) car améioration par rapport à base (béton armé) considéré sans alternative sauf asphalt avec valeur identique NIBE</t>
        </r>
      </text>
    </comment>
    <comment ref="AF178" authorId="0">
      <text>
        <r>
          <rPr>
            <b/>
            <sz val="8"/>
            <color indexed="81"/>
            <rFont val="Tahoma"/>
            <family val="2"/>
          </rPr>
          <t>Author:</t>
        </r>
        <r>
          <rPr>
            <sz val="8"/>
            <color indexed="81"/>
            <rFont val="Tahoma"/>
            <family val="2"/>
          </rPr>
          <t xml:space="preserve">
Mis à 1 car pas autres alternatives en voirie voitures et identique béton</t>
        </r>
      </text>
    </comment>
    <comment ref="AF187" authorId="0">
      <text>
        <r>
          <rPr>
            <b/>
            <sz val="8"/>
            <color indexed="81"/>
            <rFont val="Tahoma"/>
            <family val="2"/>
          </rPr>
          <t>Author:</t>
        </r>
        <r>
          <rPr>
            <sz val="8"/>
            <color indexed="81"/>
            <rFont val="Tahoma"/>
            <family val="2"/>
          </rPr>
          <t xml:space="preserve">
Considéré 1 (100% valeur dans formule) car 'équivalence' par rapport à base (empierrement) - considéré juste inférieur que empierrement mais jugé meilleur (arbitrairement car pas de valeur NIBE) que béton gazon</t>
        </r>
      </text>
    </comment>
    <comment ref="W194" authorId="0">
      <text>
        <r>
          <rPr>
            <b/>
            <sz val="8"/>
            <color indexed="81"/>
            <rFont val="Tahoma"/>
            <family val="2"/>
          </rPr>
          <t>Contrôle si surfaces encodées supérieures à la surface réelle</t>
        </r>
        <r>
          <rPr>
            <sz val="8"/>
            <color indexed="81"/>
            <rFont val="Tahoma"/>
            <family val="2"/>
          </rPr>
          <t xml:space="preserve">
</t>
        </r>
      </text>
    </comment>
    <comment ref="V205" authorId="0">
      <text>
        <r>
          <rPr>
            <b/>
            <sz val="8"/>
            <color indexed="81"/>
            <rFont val="Tahoma"/>
            <family val="2"/>
          </rPr>
          <t>Contrôle si surfaces encodées supérieures à la surface réelle</t>
        </r>
        <r>
          <rPr>
            <sz val="8"/>
            <color indexed="81"/>
            <rFont val="Tahoma"/>
            <family val="2"/>
          </rPr>
          <t xml:space="preserve">
</t>
        </r>
      </text>
    </comment>
    <comment ref="W218" authorId="0">
      <text>
        <r>
          <rPr>
            <b/>
            <sz val="8"/>
            <color indexed="81"/>
            <rFont val="Tahoma"/>
            <family val="2"/>
          </rPr>
          <t>Contrôle si surfaces encodées supérieures à la surface réelle</t>
        </r>
        <r>
          <rPr>
            <sz val="8"/>
            <color indexed="81"/>
            <rFont val="Tahoma"/>
            <family val="2"/>
          </rPr>
          <t xml:space="preserve">
</t>
        </r>
      </text>
    </comment>
    <comment ref="K229" authorId="0">
      <text>
        <r>
          <rPr>
            <sz val="8"/>
            <color indexed="81"/>
            <rFont val="Tahoma"/>
            <family val="2"/>
          </rPr>
          <t>Le choix de matériaux d'origine naturelle auto-renouvelables (ex: bois et dérivés...) ou présents en grande quantité (ex: argile / sable...) permet de favoriser un équilibre entre la matière première extraite dans notre environnement et la régénération de cette dernière. En outre, le choix de matériaux à faible transformation permet de réduire le processus industriel de production consommateur d'énergie lié à la fabrication et au transport.</t>
        </r>
      </text>
    </comment>
    <comment ref="AF269" authorId="0">
      <text>
        <r>
          <rPr>
            <b/>
            <sz val="8"/>
            <color indexed="81"/>
            <rFont val="Tahoma"/>
            <family val="2"/>
          </rPr>
          <t>Author:</t>
        </r>
        <r>
          <rPr>
            <sz val="8"/>
            <color indexed="81"/>
            <rFont val="Tahoma"/>
            <family val="2"/>
          </rPr>
          <t xml:space="preserve">
Mis à 1 car pas autres alternatives en voirie voitures et identique asphalte</t>
        </r>
      </text>
    </comment>
    <comment ref="AF270" authorId="0">
      <text>
        <r>
          <rPr>
            <b/>
            <sz val="8"/>
            <color indexed="81"/>
            <rFont val="Tahoma"/>
            <family val="2"/>
          </rPr>
          <t>Author:</t>
        </r>
        <r>
          <rPr>
            <sz val="8"/>
            <color indexed="81"/>
            <rFont val="Tahoma"/>
            <family val="2"/>
          </rPr>
          <t xml:space="preserve">
Considéré 1 (100% valeur dans formule) car améioration par rapport à base (béton armé) considéré sans alternative sauf asphalt avec valeur identique NIBE</t>
        </r>
      </text>
    </comment>
    <comment ref="AF271" authorId="0">
      <text>
        <r>
          <rPr>
            <b/>
            <sz val="8"/>
            <color indexed="81"/>
            <rFont val="Tahoma"/>
            <family val="2"/>
          </rPr>
          <t>Author:</t>
        </r>
        <r>
          <rPr>
            <sz val="8"/>
            <color indexed="81"/>
            <rFont val="Tahoma"/>
            <family val="2"/>
          </rPr>
          <t xml:space="preserve">
Mis à 1 car pas autres alternatives en voirie voitures et identique béton</t>
        </r>
      </text>
    </comment>
    <comment ref="AF280" authorId="0">
      <text>
        <r>
          <rPr>
            <b/>
            <sz val="8"/>
            <color indexed="81"/>
            <rFont val="Tahoma"/>
            <family val="2"/>
          </rPr>
          <t>Author:</t>
        </r>
        <r>
          <rPr>
            <sz val="8"/>
            <color indexed="81"/>
            <rFont val="Tahoma"/>
            <family val="2"/>
          </rPr>
          <t xml:space="preserve">
Considéré 1 (100% valeur dans formule) car 'équivalence' par rapport à base (empierrement) - considéré juste inférieur que empierrement mais jugé meilleur (arbitrairement car pas de valeur NIBE) que béton gazon</t>
        </r>
      </text>
    </comment>
    <comment ref="W287" authorId="0">
      <text>
        <r>
          <rPr>
            <b/>
            <sz val="8"/>
            <color indexed="81"/>
            <rFont val="Tahoma"/>
            <family val="2"/>
          </rPr>
          <t>Contrôle si surfaces encodées supérieures à la surface réelle</t>
        </r>
        <r>
          <rPr>
            <sz val="8"/>
            <color indexed="81"/>
            <rFont val="Tahoma"/>
            <family val="2"/>
          </rPr>
          <t xml:space="preserve">
</t>
        </r>
      </text>
    </comment>
    <comment ref="V298" authorId="0">
      <text>
        <r>
          <rPr>
            <b/>
            <sz val="8"/>
            <color indexed="81"/>
            <rFont val="Tahoma"/>
            <family val="2"/>
          </rPr>
          <t>Contrôle si surfaces encodées supérieures à la surface réelle</t>
        </r>
        <r>
          <rPr>
            <sz val="8"/>
            <color indexed="81"/>
            <rFont val="Tahoma"/>
            <family val="2"/>
          </rPr>
          <t xml:space="preserve">
</t>
        </r>
      </text>
    </comment>
    <comment ref="W311" authorId="0">
      <text>
        <r>
          <rPr>
            <b/>
            <sz val="8"/>
            <color indexed="81"/>
            <rFont val="Tahoma"/>
            <family val="2"/>
          </rPr>
          <t>Contrôle si surfaces encodées supérieures à la surface réelle</t>
        </r>
        <r>
          <rPr>
            <sz val="8"/>
            <color indexed="81"/>
            <rFont val="Tahoma"/>
            <family val="2"/>
          </rPr>
          <t xml:space="preserve">
</t>
        </r>
      </text>
    </comment>
    <comment ref="K322" authorId="0">
      <text>
        <r>
          <rPr>
            <sz val="8"/>
            <color indexed="81"/>
            <rFont val="Tahoma"/>
            <family val="2"/>
          </rPr>
          <t>Le choix de matériaux d'origine naturelle auto-renouvelables (ex: bois et dérivés...) ou présents en grande quantité (ex: argile / sable...) permet de favoriser un équilibre entre la matière première extraite dans notre environnement et la régénération de cette dernière. En outre, le choix de matériaux à faible transformation permet de réduire le processus industriel de production consommateur d'énergie lié à la fabrication et au transport.</t>
        </r>
      </text>
    </comment>
  </commentList>
</comments>
</file>

<file path=xl/comments2.xml><?xml version="1.0" encoding="utf-8"?>
<comments xmlns="http://schemas.openxmlformats.org/spreadsheetml/2006/main">
  <authors>
    <author>Author</author>
  </authors>
  <commentList>
    <comment ref="O25" authorId="0">
      <text>
        <r>
          <rPr>
            <b/>
            <sz val="8"/>
            <color indexed="81"/>
            <rFont val="Tahoma"/>
            <family val="2"/>
          </rPr>
          <t>SNCB:</t>
        </r>
        <r>
          <rPr>
            <sz val="8"/>
            <color indexed="81"/>
            <rFont val="Tahoma"/>
            <family val="2"/>
          </rPr>
          <t xml:space="preserve">
calcul intégré sur base distance/prix du billet.
&gt;150 km= 19.4€</t>
        </r>
      </text>
    </comment>
    <comment ref="R25" authorId="0">
      <text>
        <r>
          <rPr>
            <b/>
            <sz val="8"/>
            <color indexed="81"/>
            <rFont val="Tahoma"/>
            <family val="2"/>
          </rPr>
          <t>SNCB:</t>
        </r>
        <r>
          <rPr>
            <sz val="8"/>
            <color indexed="81"/>
            <rFont val="Tahoma"/>
            <family val="2"/>
          </rPr>
          <t xml:space="preserve">
calcul intégré sur base distance/prix du billet.
&gt;150 km= 19.4€</t>
        </r>
      </text>
    </comment>
    <comment ref="R28" authorId="0">
      <text>
        <r>
          <rPr>
            <b/>
            <sz val="8"/>
            <color indexed="81"/>
            <rFont val="Tahoma"/>
            <family val="2"/>
          </rPr>
          <t>Author:</t>
        </r>
        <r>
          <rPr>
            <sz val="8"/>
            <color indexed="81"/>
            <rFont val="Tahoma"/>
            <family val="2"/>
          </rPr>
          <t xml:space="preserve">
Achat du vélo : 500 €
Durée de vie 10 ans Entretien/réparation : 50 €/an
8 000 km/an
</t>
        </r>
      </text>
    </comment>
  </commentList>
</comments>
</file>

<file path=xl/comments3.xml><?xml version="1.0" encoding="utf-8"?>
<comments xmlns="http://schemas.openxmlformats.org/spreadsheetml/2006/main">
  <authors>
    <author>Author</author>
  </authors>
  <commentList>
    <comment ref="C6" authorId="0">
      <text>
        <r>
          <rPr>
            <b/>
            <sz val="8"/>
            <color indexed="81"/>
            <rFont val="Tahoma"/>
            <family val="2"/>
          </rPr>
          <t>Une personne peut  utiliser plusieurs modes de déplacement différents au cours d'un même trajet. Chacun de ces  modes est idéalement à détailler.</t>
        </r>
      </text>
    </comment>
    <comment ref="E6" authorId="0">
      <text>
        <r>
          <rPr>
            <b/>
            <sz val="8"/>
            <color indexed="81"/>
            <rFont val="Tahoma"/>
            <family val="2"/>
          </rPr>
          <t>Chiffre entre 0 et 1
Si une personne vient un tiers du temps en bus et deux-tiers en voiture, on peut lui affecter le régime de travail correspondant pour chacun des modes de déplacement.</t>
        </r>
        <r>
          <rPr>
            <sz val="8"/>
            <color indexed="81"/>
            <rFont val="Tahoma"/>
            <family val="2"/>
          </rPr>
          <t xml:space="preserve">
</t>
        </r>
      </text>
    </comment>
    <comment ref="F6" authorId="0">
      <text>
        <r>
          <rPr>
            <sz val="8"/>
            <color indexed="81"/>
            <rFont val="Tahoma"/>
            <family val="2"/>
          </rPr>
          <t>Est calculé automatiquement</t>
        </r>
        <r>
          <rPr>
            <sz val="8"/>
            <color indexed="81"/>
            <rFont val="Tahoma"/>
            <family val="2"/>
          </rPr>
          <t xml:space="preserve">
mais peut-être complété directement avec le total parcouru.</t>
        </r>
      </text>
    </comment>
    <comment ref="C28" authorId="0">
      <text>
        <r>
          <rPr>
            <b/>
            <sz val="8"/>
            <color indexed="81"/>
            <rFont val="Tahoma"/>
            <family val="2"/>
          </rPr>
          <t>Une personne peut  utiliser plusieurs modes de déplacement différents au cours d'un même trajet. Chacun de ces  modes est idéalement à détailler.</t>
        </r>
      </text>
    </comment>
  </commentList>
</comments>
</file>

<file path=xl/comments4.xml><?xml version="1.0" encoding="utf-8"?>
<comments xmlns="http://schemas.openxmlformats.org/spreadsheetml/2006/main">
  <authors>
    <author>Author</author>
  </authors>
  <commentList>
    <comment ref="G25" authorId="0">
      <text>
        <r>
          <rPr>
            <sz val="8"/>
            <color indexed="81"/>
            <rFont val="Tahoma"/>
            <family val="2"/>
          </rPr>
          <t>Total des points</t>
        </r>
      </text>
    </comment>
    <comment ref="G29" authorId="0">
      <text>
        <r>
          <rPr>
            <sz val="8"/>
            <color indexed="81"/>
            <rFont val="Tahoma"/>
            <family val="2"/>
          </rPr>
          <t>Total des points</t>
        </r>
      </text>
    </comment>
    <comment ref="G43" authorId="0">
      <text>
        <r>
          <rPr>
            <b/>
            <sz val="8"/>
            <color indexed="81"/>
            <rFont val="Tahoma"/>
            <family val="2"/>
          </rPr>
          <t>Zapei si la donnée des essences est disponible</t>
        </r>
      </text>
    </comment>
    <comment ref="H43" authorId="0">
      <text>
        <r>
          <rPr>
            <b/>
            <sz val="8"/>
            <color indexed="81"/>
            <rFont val="Tahoma"/>
            <family val="2"/>
          </rPr>
          <t>Zapei (Total des zones arborées en tenant compte des essences)</t>
        </r>
        <r>
          <rPr>
            <sz val="8"/>
            <color indexed="81"/>
            <rFont val="Tahoma"/>
            <family val="2"/>
          </rPr>
          <t xml:space="preserve">
</t>
        </r>
      </text>
    </comment>
  </commentList>
</comments>
</file>

<file path=xl/sharedStrings.xml><?xml version="1.0" encoding="utf-8"?>
<sst xmlns="http://schemas.openxmlformats.org/spreadsheetml/2006/main" count="3812" uniqueCount="1991">
  <si>
    <t>3</t>
  </si>
  <si>
    <t>2</t>
  </si>
  <si>
    <t>1</t>
  </si>
  <si>
    <t>0</t>
  </si>
  <si>
    <t>8</t>
  </si>
  <si>
    <t>6-7,9</t>
  </si>
  <si>
    <t>4-5,9</t>
  </si>
  <si>
    <t>2,1-3,9</t>
  </si>
  <si>
    <t>0-2</t>
  </si>
  <si>
    <t>40-100 %</t>
  </si>
  <si>
    <t>35-40 %</t>
  </si>
  <si>
    <t>30-35 %</t>
  </si>
  <si>
    <t>25-30 %</t>
  </si>
  <si>
    <t>20-25 %</t>
  </si>
  <si>
    <t>15-20 %</t>
  </si>
  <si>
    <t>10-15 %</t>
  </si>
  <si>
    <t>5-10 %</t>
  </si>
  <si>
    <t>0-5 %</t>
  </si>
  <si>
    <t>Valeurs</t>
  </si>
  <si>
    <t>Natura 2000</t>
  </si>
  <si>
    <t>FORMULES</t>
  </si>
  <si>
    <t>aa</t>
  </si>
  <si>
    <t xml:space="preserve">Valeur x 3,6  </t>
  </si>
  <si>
    <t>Mw h</t>
  </si>
  <si>
    <t>Cogénération tierce partie</t>
  </si>
  <si>
    <t>GJ</t>
  </si>
  <si>
    <t>Valeur :1000</t>
  </si>
  <si>
    <t>MJ</t>
  </si>
  <si>
    <t xml:space="preserve">Mw h </t>
  </si>
  <si>
    <t>bouton pour le choix des unités</t>
  </si>
  <si>
    <t>z</t>
  </si>
  <si>
    <t>Valeur x 0,0036</t>
  </si>
  <si>
    <t>kWh</t>
  </si>
  <si>
    <t>Échange thermique SORTANT</t>
  </si>
  <si>
    <t>y</t>
  </si>
  <si>
    <t>Échange thermique ENTRANT</t>
  </si>
  <si>
    <t>x</t>
  </si>
  <si>
    <t>Valeur x 5,9</t>
  </si>
  <si>
    <t>tonne</t>
  </si>
  <si>
    <t>Bois fraîchement coupé 70 % d'humidité</t>
  </si>
  <si>
    <t>w</t>
  </si>
  <si>
    <t>Valeur x 9,5</t>
  </si>
  <si>
    <t>Bois 50 % d'humidité</t>
  </si>
  <si>
    <t>v</t>
  </si>
  <si>
    <t xml:space="preserve">Valeur x 1,1 </t>
  </si>
  <si>
    <t>Bois 40 % d'humidité</t>
  </si>
  <si>
    <t>u</t>
  </si>
  <si>
    <t>Valeur x 12,6</t>
  </si>
  <si>
    <t>Bois 30 % d'humidité</t>
  </si>
  <si>
    <t>t</t>
  </si>
  <si>
    <t>Valeur x 15,5</t>
  </si>
  <si>
    <t>Bois séché à l'air 20 % d'humidité</t>
  </si>
  <si>
    <t>s</t>
  </si>
  <si>
    <t>Valeur x 18,4</t>
  </si>
  <si>
    <t>Bois – conifères 0 % d'humidité</t>
  </si>
  <si>
    <t xml:space="preserve">r </t>
  </si>
  <si>
    <t>Valeur x 16,7</t>
  </si>
  <si>
    <t>Bois – feuillus 0 % d'humidité</t>
  </si>
  <si>
    <t>SUBSTANCES SOLIDES</t>
  </si>
  <si>
    <t>q</t>
  </si>
  <si>
    <t>Valeur x 33,55 : 1000</t>
  </si>
  <si>
    <t>litre</t>
  </si>
  <si>
    <t>Biocarburants</t>
  </si>
  <si>
    <t>Valeur x 0,95 x 41 :1000</t>
  </si>
  <si>
    <t>p</t>
  </si>
  <si>
    <t>Valeur x 41 :1000</t>
  </si>
  <si>
    <t>kg</t>
  </si>
  <si>
    <t>Fuel lourd</t>
  </si>
  <si>
    <t>Valeur x 0,95 x 41,4 :1000</t>
  </si>
  <si>
    <t>o</t>
  </si>
  <si>
    <t>Valeur x 41,4 :1000</t>
  </si>
  <si>
    <t>Fuel mi-lourd</t>
  </si>
  <si>
    <t>Valeur x 0,87 x 42,3 :1000</t>
  </si>
  <si>
    <t>n</t>
  </si>
  <si>
    <t>Valeur x 42,3 :1000</t>
  </si>
  <si>
    <t xml:space="preserve">kg </t>
  </si>
  <si>
    <t>Fuel léger</t>
  </si>
  <si>
    <t>m</t>
  </si>
  <si>
    <t>Valeur x 0,75 x 43 :1000</t>
  </si>
  <si>
    <t>Essence</t>
  </si>
  <si>
    <t>l</t>
  </si>
  <si>
    <t>Valeur x 0,84 x 42,75 :1000</t>
  </si>
  <si>
    <t>Diesel/gasoil/mazout</t>
  </si>
  <si>
    <t>LIQUIDES</t>
  </si>
  <si>
    <t>k</t>
  </si>
  <si>
    <t>Valeur x 0,54 x 45,8 :1000</t>
  </si>
  <si>
    <t>GPL</t>
  </si>
  <si>
    <t>Valeur x 0,51 x  46,35 :1000</t>
  </si>
  <si>
    <t>j</t>
  </si>
  <si>
    <t>Valeur x 46,35 :1000</t>
  </si>
  <si>
    <t>Propane</t>
  </si>
  <si>
    <t>Valeur x 0,58 x 45,6 :1000</t>
  </si>
  <si>
    <t>i</t>
  </si>
  <si>
    <t>Valeur x 45,6 :1000</t>
  </si>
  <si>
    <t>Butane</t>
  </si>
  <si>
    <t>h</t>
  </si>
  <si>
    <t>Biogaz</t>
  </si>
  <si>
    <t>Valeur x 0,9 x 3,6</t>
  </si>
  <si>
    <t>g</t>
  </si>
  <si>
    <t>Valeur x 0,9 x 0,0036</t>
  </si>
  <si>
    <t xml:space="preserve">kWh </t>
  </si>
  <si>
    <t>Gaz naturel</t>
  </si>
  <si>
    <t>GAZ</t>
  </si>
  <si>
    <t>f</t>
  </si>
  <si>
    <t xml:space="preserve">Valeur X 2,5 </t>
  </si>
  <si>
    <t>Énergie éolienne</t>
  </si>
  <si>
    <t>e</t>
  </si>
  <si>
    <t>Énergie hydro-électrique</t>
  </si>
  <si>
    <t>d</t>
  </si>
  <si>
    <t>Installation PV avec compteur tournant à l'envers</t>
  </si>
  <si>
    <t>c</t>
  </si>
  <si>
    <t>Installation PV avec raccordement distinct au réseau</t>
  </si>
  <si>
    <t>b</t>
  </si>
  <si>
    <t>Électricité achetée verte</t>
  </si>
  <si>
    <t>a</t>
  </si>
  <si>
    <t>Électricité achetée non verte</t>
  </si>
  <si>
    <t>reference Column C</t>
  </si>
  <si>
    <t xml:space="preserve">Conversion en GJ d'énergie primaire </t>
  </si>
  <si>
    <t>Conversion en GJ</t>
  </si>
  <si>
    <t>Unité</t>
  </si>
  <si>
    <t>Pop-up</t>
  </si>
  <si>
    <t>Z</t>
  </si>
  <si>
    <t>H</t>
  </si>
  <si>
    <t>0,30 *G</t>
  </si>
  <si>
    <t>G</t>
  </si>
  <si>
    <t>0,40 *F</t>
  </si>
  <si>
    <t>F</t>
  </si>
  <si>
    <t>0,95 *E</t>
  </si>
  <si>
    <t>E</t>
  </si>
  <si>
    <t>0,60 *D</t>
  </si>
  <si>
    <t>D</t>
  </si>
  <si>
    <t>0,70 *C</t>
  </si>
  <si>
    <t>C</t>
  </si>
  <si>
    <t>0,95 *B</t>
  </si>
  <si>
    <t>B</t>
  </si>
  <si>
    <t>A</t>
  </si>
  <si>
    <t>X</t>
  </si>
  <si>
    <t>Transport collectif : 2 sous-actions</t>
  </si>
  <si>
    <t>Partenariats : 4 sous-actions</t>
  </si>
  <si>
    <t>Localisation - délocalisation : 3 sous-actions</t>
  </si>
  <si>
    <t>Infrastructures : 8 sous-actions</t>
  </si>
  <si>
    <t>Information sensibilisation: 4 sous-actions</t>
  </si>
  <si>
    <t>Covoiturage : 6 sous-actions</t>
  </si>
  <si>
    <t>Coordination : 4 sous-actions</t>
  </si>
  <si>
    <t>Descriptions d'une séries d'actions selon 7 thématiques</t>
  </si>
  <si>
    <t>Actions pour Parc d'activités</t>
  </si>
  <si>
    <t>PARCS D'ACTIVITES</t>
  </si>
  <si>
    <t>l'entreprise peut y trouver des aides à la mise en œuvre d'actions pour réduire sa dépendance de mobilité</t>
  </si>
  <si>
    <t>Chaque thématique dispose de sous-catégories qui sont des actions utiles</t>
  </si>
  <si>
    <t>Descriptions d'une série d'actions selon 18 thématiques</t>
  </si>
  <si>
    <t>Actions pour entreprises</t>
  </si>
  <si>
    <t>Pour les trains : utiliser google map ou mappy pour estimer la distance via la route…</t>
  </si>
  <si>
    <t>Pour les aéroports : http://www.ephemeride.com/atlas/distanceaeroport/0/</t>
  </si>
  <si>
    <t>si les kilométrages ne sont pas mentionnés :</t>
  </si>
  <si>
    <t>les factures des frais de missions (montant et kilométrages)</t>
  </si>
  <si>
    <t>la consommation annuelle (factures) ou les kilométrages annuels de chaque voiture de société  par type de carburant</t>
  </si>
  <si>
    <t>Collecter auprès du service comptable/ secrétariat</t>
  </si>
  <si>
    <t>Déplacements professionnels</t>
  </si>
  <si>
    <t>Les coûts réels estimés sont calculé sur base d'un coût global pour l'employé (carburant, taxe, assurance, amortissement,…)</t>
  </si>
  <si>
    <t>En cas de remboursement total ou partiel, indiquer les montants payés par l'entreprise</t>
  </si>
  <si>
    <t>Le prix de l'abonnement de train est estimé sur le kilométrage du trajet mentionné, les données individuelles sont requises</t>
  </si>
  <si>
    <t>les indemnités payées pour le déplacement</t>
  </si>
  <si>
    <t>pour chaque mode  (l'équivalent temps plein est indiqué en fraction de l'unité)</t>
  </si>
  <si>
    <t>Si le travailleur se déplace la moitié du temps en voiture, l'autre moitié en bus, on affecte donc un équivalent mi-temps</t>
  </si>
  <si>
    <t>Cet indicateur permet de calculer combien de fois par an, le trajet est supposé être effectué</t>
  </si>
  <si>
    <t>l'équivalent temps plein presté</t>
  </si>
  <si>
    <t>il y aura donc 3 lignes créées pour ce travailleur dans l'onglet ENT_Domicile-travail</t>
  </si>
  <si>
    <t>ex : 5 km en voiture pour aller à la gare, 35 km en train et 0.5 km à pied de la gare au bureau</t>
  </si>
  <si>
    <t>Chaque déplacement avec un mode différent sera idéalement rapporté</t>
  </si>
  <si>
    <t xml:space="preserve">Pour les distances par routes : http://maps.google.be/maps?hl=fr&amp;ie=UTF-8&amp;tab=wl </t>
  </si>
  <si>
    <t xml:space="preserve">C'est l'indicateur principal, soit il est connu, soit il est estimé, notamment via le site google maps. </t>
  </si>
  <si>
    <t>la distance parcourue par mode de déplacement</t>
  </si>
  <si>
    <t>Collecter auprès de chaque travailleur :</t>
  </si>
  <si>
    <t>Domicile Travail</t>
  </si>
  <si>
    <t>ENTREPRISE</t>
  </si>
  <si>
    <t xml:space="preserve">Avant de commencer, voici ce qu'il est utile de collecter comme données avant de compléter l'outil. </t>
  </si>
  <si>
    <r>
      <t>Cet outil de calcul a pour but de permettre une première analyse de la durabilité des déplacements liés à l'activité d'une entreprise ou d'un parc d'activités économiques. Il est basé sur les principes du Bilan Carbone® de l'ADEME pour le calcul des équivalents CO</t>
    </r>
    <r>
      <rPr>
        <b/>
        <vertAlign val="subscript"/>
        <sz val="9"/>
        <rFont val="Geneva"/>
      </rPr>
      <t>2</t>
    </r>
    <r>
      <rPr>
        <b/>
        <sz val="9"/>
        <rFont val="Geneva"/>
      </rPr>
      <t xml:space="preserve"> et pour la consommation énergétique.  Il n'a pas la prétention d'être exhaustif.</t>
    </r>
  </si>
  <si>
    <t>99 : Activités des organisations et organismes extraterritoriaux</t>
  </si>
  <si>
    <t>98 : Activités indifférenciées des ménages en tant que producteurs de biens et services pour usage propre</t>
  </si>
  <si>
    <t>97 : Activités des ménages en tant qu'employeurs de personnel domestique</t>
  </si>
  <si>
    <t>96 : Autres services personnels</t>
  </si>
  <si>
    <t>95 : Réparation d'ordinateurs et de biens personnels et domestiques</t>
  </si>
  <si>
    <t>94 : Activités des organisations associatives</t>
  </si>
  <si>
    <t>93 : Activités sportives, récréatives et de loisirs</t>
  </si>
  <si>
    <t>92 : Organisation de jeux de hasard et d'argent</t>
  </si>
  <si>
    <t>91 : Bibliothèques, archives, musées et autres activités culturelles</t>
  </si>
  <si>
    <t>90 : Activités créatives, artistiques et de spectacle</t>
  </si>
  <si>
    <t>88 : Action sociale sans hébergement</t>
  </si>
  <si>
    <t>87 : Activités médico-sociales et sociales avec hébergement</t>
  </si>
  <si>
    <t>86 : Activités pour la santé humaine</t>
  </si>
  <si>
    <t>85 : Enseignement</t>
  </si>
  <si>
    <t>84 : Administration publique et défense; sécurité sociale obligatoire</t>
  </si>
  <si>
    <t>82 : Services administratifs de bureau et autres activités de soutien aux entreprises</t>
  </si>
  <si>
    <t>81 : Services relatifs aux bâtiments; aménagement paysager</t>
  </si>
  <si>
    <t>80 : Enquêtes et sécurité</t>
  </si>
  <si>
    <t>79 : Activités des agences de voyage, voyagistes, services de réservation et activités connexes</t>
  </si>
  <si>
    <t>78 : Activités liées à l'emploi</t>
  </si>
  <si>
    <t>77 : Activités de location et location-bail</t>
  </si>
  <si>
    <t>75 : Activités vétérinaires</t>
  </si>
  <si>
    <t>74 : Autres activités spécialisées, scientifiques et techniques</t>
  </si>
  <si>
    <t>73 : Publicité et études de marché</t>
  </si>
  <si>
    <t>72 : Recherche-développement scientifique</t>
  </si>
  <si>
    <t>71 : Activités d'architecture et d'ingénierie; activités de contrôle et analyses techniques</t>
  </si>
  <si>
    <t>70 : Activités des sièges sociaux; conseil de gestion</t>
  </si>
  <si>
    <t>69 : Activités juridiques et comptables</t>
  </si>
  <si>
    <t>68 : Activités immobilières</t>
  </si>
  <si>
    <t>66 : Activités auxiliaires de services financiers et d'assurance</t>
  </si>
  <si>
    <t xml:space="preserve">65 : Assurance, réassurance et caisses de retraite, à l'exclusion des assurances sociales obligatoires </t>
  </si>
  <si>
    <t>64 : Activités des services financiers, hors assurance et caisses de retraite</t>
  </si>
  <si>
    <t>63 : Services d'information</t>
  </si>
  <si>
    <t>62 : Programmation, conseil et autres activités informatiques</t>
  </si>
  <si>
    <t>Avion long courrier (&gt; 1000 km)</t>
  </si>
  <si>
    <t>MDP11</t>
  </si>
  <si>
    <t>61 : Télécommunications</t>
  </si>
  <si>
    <t>Avion court courrier (&lt; 1000 km)</t>
  </si>
  <si>
    <t>MDP10</t>
  </si>
  <si>
    <t>60 : Programmation et diffusion de programmes de radio et de télévision</t>
  </si>
  <si>
    <t>Vélo/pieds</t>
  </si>
  <si>
    <t>MDP09</t>
  </si>
  <si>
    <t>59 : Production de films cinématographiques, de vidéo et de programmes de télévision; enregistrement sonore et édition musicale</t>
  </si>
  <si>
    <t>Bus</t>
  </si>
  <si>
    <t>MDP08</t>
  </si>
  <si>
    <t>58 : Édition</t>
  </si>
  <si>
    <t>TGV</t>
  </si>
  <si>
    <t>MDP07</t>
  </si>
  <si>
    <t>56 : Restauration</t>
  </si>
  <si>
    <t>Train</t>
  </si>
  <si>
    <t>MDP06</t>
  </si>
  <si>
    <t>55 : Hébergement</t>
  </si>
  <si>
    <t>Motos</t>
  </si>
  <si>
    <t>MDP05</t>
  </si>
  <si>
    <t>53 : Activités de poste et de courrier</t>
  </si>
  <si>
    <t>Covoiturage</t>
  </si>
  <si>
    <t>MDP04</t>
  </si>
  <si>
    <t>52 : Entreposage et services auxiliaires des transports</t>
  </si>
  <si>
    <t>Voiture LPG</t>
  </si>
  <si>
    <t>MDP03</t>
  </si>
  <si>
    <t>51 : Transports aériens</t>
  </si>
  <si>
    <t>Voiture essence</t>
  </si>
  <si>
    <t>MDP02</t>
  </si>
  <si>
    <t>50 : Transports par eau</t>
  </si>
  <si>
    <t>Voiture diesel</t>
  </si>
  <si>
    <t>MDP01</t>
  </si>
  <si>
    <t>49 : Transports terrestres et transport par conduites</t>
  </si>
  <si>
    <t>Variables MDP</t>
  </si>
  <si>
    <t>47 : Commerce de détail, à l'exception des véhicules automobiles et des motocycles</t>
  </si>
  <si>
    <t>46 : Commerce de gros, à l'exception des véhicules automobiles et des motocycles</t>
  </si>
  <si>
    <t>45 : Commerce de gros et de détail et réparation véhicules automobiles et de motocycles</t>
  </si>
  <si>
    <t>43 : Travaux de construction spécialisés</t>
  </si>
  <si>
    <t>MDT09</t>
  </si>
  <si>
    <t>42 : Génie civil</t>
  </si>
  <si>
    <t>MDT08</t>
  </si>
  <si>
    <t>41 : Construction de bâtiments; promotion immobilière</t>
  </si>
  <si>
    <t>MDT07</t>
  </si>
  <si>
    <t>39 : Dépollution et autres services de gestion des déchets</t>
  </si>
  <si>
    <t>MDT06</t>
  </si>
  <si>
    <t>38 : Collecte, traitement et élimination des déchets; récupération</t>
  </si>
  <si>
    <t>MDT05</t>
  </si>
  <si>
    <t>37 : Collecte et traitement des eaux usées</t>
  </si>
  <si>
    <t>MDT04</t>
  </si>
  <si>
    <t>36 : Captage, traitement et distribution d'eau</t>
  </si>
  <si>
    <t>MDT03</t>
  </si>
  <si>
    <t>35 : Production et distribution d'électricité, de gaz, de vapeur et d'air conditionné</t>
  </si>
  <si>
    <t>MDT02</t>
  </si>
  <si>
    <t>33 : Réparation et installation de machines et d'équipements</t>
  </si>
  <si>
    <t>MDT01</t>
  </si>
  <si>
    <t>32 : Autres industries manufacturières</t>
  </si>
  <si>
    <t>Variables MDT</t>
  </si>
  <si>
    <t>31 : Fabrication de meubles</t>
  </si>
  <si>
    <t>30 : Fabrication d'autres matériels de transport</t>
  </si>
  <si>
    <t>29 : Construction et assemblage de véhicules automobiles, de remorques et de semi-remorques</t>
  </si>
  <si>
    <t>28 : Fabrication de machines et d'équipements n.c.a.</t>
  </si>
  <si>
    <t>27 : Fabrication d'équipements électriques</t>
  </si>
  <si>
    <t>26 : Fabrication de produits informatiques, électroniques et optiques</t>
  </si>
  <si>
    <t>25 : Fabrication de produits métalliques, à l'exception des machines et des équipements</t>
  </si>
  <si>
    <t>24 : Métallurgie</t>
  </si>
  <si>
    <t>23 : Fabrication d'autres produits minéraux non métalliques</t>
  </si>
  <si>
    <t>22 : Fabrication de produits en caoutchouc et en plastique</t>
  </si>
  <si>
    <t>21 : Industrie pharmaceutique</t>
  </si>
  <si>
    <t>20 : Industrie chimique</t>
  </si>
  <si>
    <t>19 : Cokéfaction et raffinage</t>
  </si>
  <si>
    <t>18 : Imprimerie et reproduction d'enregistrements</t>
  </si>
  <si>
    <t>17 : Industrie du papier et du carton</t>
  </si>
  <si>
    <t>16 : Travail du bois et fabrication d'articles en bois et en liège, à l'exception des meubles; fabrication d'articles en vannerie et sparterie</t>
  </si>
  <si>
    <t>par km</t>
  </si>
  <si>
    <t>Prix remboursé par km vélo</t>
  </si>
  <si>
    <t>PV</t>
  </si>
  <si>
    <t>coût de l'avion long courrier au km</t>
  </si>
  <si>
    <t>C_alc</t>
  </si>
  <si>
    <t>coût de l'avion court courrier au km</t>
  </si>
  <si>
    <t>C_acc</t>
  </si>
  <si>
    <t>15 : Industrie du cuir et de la chaussure</t>
  </si>
  <si>
    <t>coût du bus au km</t>
  </si>
  <si>
    <t>Cbus</t>
  </si>
  <si>
    <t>14 : Industrie de l'habillement</t>
  </si>
  <si>
    <t>par mois</t>
  </si>
  <si>
    <t>coût abonnement train &gt; 150 km</t>
  </si>
  <si>
    <t>d_train</t>
  </si>
  <si>
    <t>13 : Fabrication de textiles</t>
  </si>
  <si>
    <t>ax²+bx+c</t>
  </si>
  <si>
    <t>coût abonnement train fct km</t>
  </si>
  <si>
    <t>c_train</t>
  </si>
  <si>
    <t>12 : Fabrication de produits à base de tabac</t>
  </si>
  <si>
    <t>b_train</t>
  </si>
  <si>
    <t>11 : Fabrication de boissons</t>
  </si>
  <si>
    <t>a_train</t>
  </si>
  <si>
    <t xml:space="preserve">10 : Industries alimentaires </t>
  </si>
  <si>
    <t>Coût global d'une moto au km</t>
  </si>
  <si>
    <t>CGM</t>
  </si>
  <si>
    <t>09 : Services de soutien aux industries extractives</t>
  </si>
  <si>
    <t>Coût global d'une voiture au km</t>
  </si>
  <si>
    <t>CGV</t>
  </si>
  <si>
    <t>08 : Autres industries extractives</t>
  </si>
  <si>
    <t>par litre</t>
  </si>
  <si>
    <t>Mix diesel/essence</t>
  </si>
  <si>
    <t>PM</t>
  </si>
  <si>
    <t>07 : Extraction de minerais métalliques</t>
  </si>
  <si>
    <t>Part du diesel moyen du parc</t>
  </si>
  <si>
    <t>ParD</t>
  </si>
  <si>
    <t>06 : Extraction d'hydrocarbures</t>
  </si>
  <si>
    <t xml:space="preserve">Gaz de pétrole liquéfié (GPL) </t>
  </si>
  <si>
    <t>PGPL</t>
  </si>
  <si>
    <t>05 : Extraction de houille et de lignite</t>
  </si>
  <si>
    <t xml:space="preserve">Essence moteurs terrestres </t>
  </si>
  <si>
    <t>PE</t>
  </si>
  <si>
    <t>03 : Pêche et aquaculture</t>
  </si>
  <si>
    <t xml:space="preserve">Kérosène </t>
  </si>
  <si>
    <t>PK</t>
  </si>
  <si>
    <t>02 : Sylviculture et exploitation forestière</t>
  </si>
  <si>
    <t>€/l</t>
  </si>
  <si>
    <t xml:space="preserve">Gazole </t>
  </si>
  <si>
    <t>PG</t>
  </si>
  <si>
    <t>01 : Culture et production animale, chasse et services annexes</t>
  </si>
  <si>
    <t>Prix</t>
  </si>
  <si>
    <t>Données</t>
  </si>
  <si>
    <t>Variables paramétrables</t>
  </si>
  <si>
    <t xml:space="preserve">Gaz de pétrole liquéfié (GPL-LPG) </t>
  </si>
  <si>
    <t>Essence Eurosuper 95</t>
  </si>
  <si>
    <t>Gazole - Diesel</t>
  </si>
  <si>
    <t>Prix officiel pour l'année</t>
  </si>
  <si>
    <t xml:space="preserve">http://economie.fgov.be/fr/statistiques/chiffres/energie/prix/moyen_8/index.jsp </t>
  </si>
  <si>
    <t>www.carbu.be</t>
  </si>
  <si>
    <t>m²</t>
  </si>
  <si>
    <t>€</t>
  </si>
  <si>
    <t>FICHE DESCRIPTIVE DU SITE OU DE L'ACTIVITE PRISE EN COMPTE</t>
  </si>
  <si>
    <t>Constante 100</t>
  </si>
  <si>
    <t>Pour la partie cachée</t>
  </si>
  <si>
    <t>=100</t>
  </si>
  <si>
    <t>50 et 50 =100</t>
  </si>
  <si>
    <t>Complément à 100</t>
  </si>
  <si>
    <t>Total des 4</t>
  </si>
  <si>
    <t>Valeur à représenter</t>
  </si>
  <si>
    <t>Paramètres pour graphique</t>
  </si>
  <si>
    <t>PAE</t>
  </si>
  <si>
    <t>Niveau 0</t>
  </si>
  <si>
    <t>PTC</t>
  </si>
  <si>
    <t>Niveau 1</t>
  </si>
  <si>
    <t>PCV</t>
  </si>
  <si>
    <t>Niveau 2</t>
  </si>
  <si>
    <t>PVS</t>
  </si>
  <si>
    <t>Niveau 3</t>
  </si>
  <si>
    <t>kg CO2</t>
  </si>
  <si>
    <t>Niveau 4</t>
  </si>
  <si>
    <t>/k€</t>
  </si>
  <si>
    <t>(Diesel)</t>
  </si>
  <si>
    <t>motos</t>
  </si>
  <si>
    <t>MDP00</t>
  </si>
  <si>
    <t>Voiture tous carburants</t>
  </si>
  <si>
    <t>€/km</t>
  </si>
  <si>
    <t>kgCO2/litre</t>
  </si>
  <si>
    <t>€/100km</t>
  </si>
  <si>
    <t>kWh/km</t>
  </si>
  <si>
    <t>kgCO2/km</t>
  </si>
  <si>
    <t>Coût au km</t>
  </si>
  <si>
    <t>Fe comb</t>
  </si>
  <si>
    <t>Fe totaux</t>
  </si>
  <si>
    <t>Fe prix</t>
  </si>
  <si>
    <t>Fe conso</t>
  </si>
  <si>
    <t>Mode</t>
  </si>
  <si>
    <t>FE07</t>
  </si>
  <si>
    <t>FE06</t>
  </si>
  <si>
    <t>FE05</t>
  </si>
  <si>
    <t>FE04</t>
  </si>
  <si>
    <t>FE03</t>
  </si>
  <si>
    <t>FE02</t>
  </si>
  <si>
    <t>FE01</t>
  </si>
  <si>
    <t>Variables FE</t>
  </si>
  <si>
    <t>Synthèse</t>
  </si>
  <si>
    <t>ME07, ME09, ME16</t>
  </si>
  <si>
    <t>ME04, ME05</t>
  </si>
  <si>
    <t>ME01</t>
  </si>
  <si>
    <t>TARGET</t>
  </si>
  <si>
    <t>ME19</t>
  </si>
  <si>
    <t>UCM (frais de déplacement et interventions au 1er février 2010) :
http://www.ucm.be/C1256C0D003C8BF5/_/38FB657B7E5F58D7C1256F42002B2FE7/$file/Les_frais_de_deplacement%202010.pdf?OpenElement</t>
  </si>
  <si>
    <t>www.cambio.be</t>
  </si>
  <si>
    <t>ME18</t>
  </si>
  <si>
    <t>http://www.emploi.belgique.be/defaultTab.aspx?id=23938</t>
  </si>
  <si>
    <t>ME17</t>
  </si>
  <si>
    <t>www.athloncarlease.com/athlon-be/</t>
  </si>
  <si>
    <t>www.b-rail.be/nat/F/enterprises/railease/index.php</t>
  </si>
  <si>
    <t>ME16</t>
  </si>
  <si>
    <t>*http://www.gracq.be/AVELO/006AuBoulot
* http://www.provelo.org/spip.php?article1121</t>
  </si>
  <si>
    <t>projet européen www.lifecycle.cc</t>
  </si>
  <si>
    <t>www.biketowork.be</t>
  </si>
  <si>
    <t>ME15</t>
  </si>
  <si>
    <t>ME14</t>
  </si>
  <si>
    <t>Van Pooling : http://www.taxistop.be/toolbox/francais/measures/sub/sub307/fiche.htm</t>
  </si>
  <si>
    <t>Van-pooling</t>
  </si>
  <si>
    <t>Le Vlaams Pendelfonds institué en 2006-2007 vise à limiter les frais et encourage la collaboration entre entreprises en ce domaine
http://www.mobielvlaanderen.be/pendelfonds/index.php?a=14&amp;nav=1</t>
  </si>
  <si>
    <t>* http://www.idealys.be/
* http://www.carpool.be/zone/crealys/tec.html
* http://www.uwe.be/mobilite-transport-logistique/personnes/exemples/Navette%20Crealys.pdf</t>
  </si>
  <si>
    <t>Port d'Anvers : IBUS (IndustrieBus), une sorte de transport en bus privé-public
http://www.mobilit.fgov.be/data/mobil/BEST_PRACTICES_FR.pdf</t>
  </si>
  <si>
    <t>ME13</t>
  </si>
  <si>
    <t>ME12</t>
  </si>
  <si>
    <t>ME11</t>
  </si>
  <si>
    <t>ME10</t>
  </si>
  <si>
    <t>ME09</t>
  </si>
  <si>
    <t>http://www.mobilit.fgov.be/data/mobil/BEST_PRACTICES_FR.pdf</t>
  </si>
  <si>
    <t>ME08</t>
  </si>
  <si>
    <t>www.damier.be</t>
  </si>
  <si>
    <t>DAMIER a pour objectif de répondre efficacement et rapidement à des besoins parfois urgents en matière de mobilité par la mise en place de plusieurs outils : parmi ceux-ci, la « Job-mobile » vise à apporter une aide immédiate à des demandeurs d’emploi ou à des travailleurs qui ne disposent pas des moyens suffisants pour se déplacer vers un emploi, une formation ou vers un lieu utile pour leur projet professionnel. Ce service est conçu pour être complémentaire à l’offre de mobilité des TEC, de la SNCB et d’autres initiatives locales de mobilité comme les taxis sociaux, les entreprises de transport de personnes, etc
Le principe est le suivant : la course doit être réservée 48 heures à l’avance. Le prix de celle-ci est calculé sur la base de 0.20 € /km parcouru avec l’usager (la prise en charge n’est pas facturée).</t>
  </si>
  <si>
    <t xml:space="preserve">Outil d'enquête sur la mobilité du SPW :
http://mobilite.wallonie.be/opencms/opencms/fr/planification_realisations/enquetes_mobilite/entreprise/ </t>
  </si>
  <si>
    <t>ME07</t>
  </si>
  <si>
    <t>ME06</t>
  </si>
  <si>
    <t>* http://semaine.mobilite.wallonie.be
* www.fridaybikeday.be/
* www.provelo.org
* www.gracq.org</t>
  </si>
  <si>
    <t>www.carpool.be/zone/nivelles-sud/</t>
  </si>
  <si>
    <t>* www.carpool.be/rwl/particulieren/parkings/index.html
* www.carpool.be/rbx/particulieren/parkings/index.html</t>
  </si>
  <si>
    <t>http://www.stib.be/Produit-product.html?l=fr&amp;news_rid=/STIB-MIVB/INTERNET/ACTUS/STATIC/WEB_Article_1_1196164447795.xml</t>
  </si>
  <si>
    <t>http://mobilite.wallonie.be/opencms/opencms/fr/formation_information_sensibilisation/fam/</t>
  </si>
  <si>
    <t>ME05</t>
  </si>
  <si>
    <t>ME04</t>
  </si>
  <si>
    <t>ME03</t>
  </si>
  <si>
    <t>ME02</t>
  </si>
  <si>
    <t>http://www.carpool.be/rwl/particulieren/index.html</t>
  </si>
  <si>
    <t>http://www.taxistop.be/2/carpool/2smartpool-1.htm</t>
  </si>
  <si>
    <t>www.uwe.be/publications/etudes-rapports-guides-pratiques/guides-pratiques-et-statistiques/plan-de-deplacement-dentreprise-pde/</t>
  </si>
  <si>
    <t>http://mobilite.wallonie.be/opencms/opencms/fr/planification_realisations/pde</t>
  </si>
  <si>
    <t>www.mobilit.fgov.be/fr/indexReframed.htm?newURL=%2Ffr%2Fmobil%2Fmobaccf%2Fdiagnosf.htm</t>
  </si>
  <si>
    <t xml:space="preserve">http://www.mobilit.fgov.be/data/mobil/BEST_PRACTICES_FR.pdf </t>
  </si>
  <si>
    <t xml:space="preserve">* www.mobilit.fgov.be/data/mobil/BEST_PRACTICES_FR.pdf
* www.mobilitymanagement.be/francais/measures.htm </t>
  </si>
  <si>
    <t>www.ibgebim.be/Templates/Professionnels/Informer.aspx?id=1586&amp;langtype=2060</t>
  </si>
  <si>
    <t>Niveau</t>
  </si>
  <si>
    <t>MG04, MG07</t>
  </si>
  <si>
    <t>MG02, MG03, MG06</t>
  </si>
  <si>
    <t>MG05</t>
  </si>
  <si>
    <t>MG01</t>
  </si>
  <si>
    <t>MG07</t>
  </si>
  <si>
    <t>MG06</t>
  </si>
  <si>
    <t>MG04</t>
  </si>
  <si>
    <t>MG03</t>
  </si>
  <si>
    <t>www.gracq.org</t>
  </si>
  <si>
    <t>www.provelo.org</t>
  </si>
  <si>
    <t>www.fridaybikeday.be/</t>
  </si>
  <si>
    <t>http://semaine.mobilite.wallonie.be</t>
  </si>
  <si>
    <t>www.carpool.be/rbx/particulieren/parkings/index.html</t>
  </si>
  <si>
    <t>www.carpool.be/rwl/particulieren/parkings/index.html</t>
  </si>
  <si>
    <t>MG02</t>
  </si>
  <si>
    <t>http://mobilite.wallonie.be/opencms/opencms/fr/planification_realisations/pde/pmza/index.html</t>
  </si>
  <si>
    <t>www.mobilitymanagement.be/francais/measures.htm</t>
  </si>
  <si>
    <t>CODE</t>
  </si>
  <si>
    <t>Mobilité</t>
  </si>
  <si>
    <t>MWh</t>
  </si>
  <si>
    <t>AA</t>
  </si>
  <si>
    <t>Valeur : 1000</t>
  </si>
  <si>
    <t>Y</t>
  </si>
  <si>
    <r>
      <t xml:space="preserve">Échange thermique sur une base annuelle de la partie publique du terrain industriel/groupe </t>
    </r>
    <r>
      <rPr>
        <i/>
        <sz val="10"/>
        <color indexed="8"/>
        <rFont val="Arial"/>
        <family val="2"/>
      </rPr>
      <t>(vers ou depuis une entreprise ou tierce partie)</t>
    </r>
  </si>
  <si>
    <t>W</t>
  </si>
  <si>
    <t>V</t>
  </si>
  <si>
    <t>U</t>
  </si>
  <si>
    <t>T</t>
  </si>
  <si>
    <t>S</t>
  </si>
  <si>
    <t xml:space="preserve">R </t>
  </si>
  <si>
    <t>Valeur x   ????</t>
  </si>
  <si>
    <t>P</t>
  </si>
  <si>
    <t>O</t>
  </si>
  <si>
    <t>N</t>
  </si>
  <si>
    <t>M</t>
  </si>
  <si>
    <t>L</t>
  </si>
  <si>
    <t>K</t>
  </si>
  <si>
    <t>Valeur x 0,51 x 46,35 :1000</t>
  </si>
  <si>
    <t>J</t>
  </si>
  <si>
    <t>I</t>
  </si>
  <si>
    <r>
      <t>Combustibles – consommation annuelle de la partie publique du terrain industriel/groupe</t>
    </r>
    <r>
      <rPr>
        <i/>
        <sz val="10"/>
        <color indexed="8"/>
        <rFont val="Arial"/>
        <family val="2"/>
      </rPr>
      <t xml:space="preserve"> (processus/chauffage/transport sur la partie publique)</t>
    </r>
  </si>
  <si>
    <t>Électricité – consommation annuelle de la partie publique du terrain industriel/groupe</t>
  </si>
  <si>
    <t>référence Colonne C</t>
  </si>
  <si>
    <t>pop-up</t>
  </si>
  <si>
    <t>Unités possibles</t>
  </si>
  <si>
    <t>Question</t>
  </si>
  <si>
    <t>Energie</t>
  </si>
  <si>
    <t>Matériaux</t>
  </si>
  <si>
    <t>Score de l'entreprise</t>
  </si>
  <si>
    <t>Score du parc d'activité économique</t>
  </si>
  <si>
    <t>Pourcentage</t>
  </si>
  <si>
    <t>Eau</t>
  </si>
  <si>
    <t>Déchets</t>
  </si>
  <si>
    <t>Biodiversité</t>
  </si>
  <si>
    <t>Synthèse des résultats</t>
  </si>
  <si>
    <t>Score</t>
  </si>
  <si>
    <t xml:space="preserve">
</t>
  </si>
  <si>
    <t>C.1</t>
  </si>
  <si>
    <t>B.4</t>
  </si>
  <si>
    <t>B.3</t>
  </si>
  <si>
    <t>B.2</t>
  </si>
  <si>
    <t>B.1</t>
  </si>
  <si>
    <t>A.2</t>
  </si>
  <si>
    <t>A.1</t>
  </si>
  <si>
    <t xml:space="preserve">formule onwaar =  </t>
  </si>
  <si>
    <t xml:space="preserve">formule I 3 </t>
  </si>
  <si>
    <t xml:space="preserve">als B31=ja </t>
  </si>
  <si>
    <t xml:space="preserve"> LVG</t>
  </si>
  <si>
    <t xml:space="preserve"> LGG</t>
  </si>
  <si>
    <t>LGE</t>
  </si>
  <si>
    <t xml:space="preserve">formule I 2,5 </t>
  </si>
  <si>
    <t xml:space="preserve">FORMULE </t>
  </si>
  <si>
    <t xml:space="preserve">noemer = </t>
  </si>
  <si>
    <t>formule A gemengd</t>
  </si>
  <si>
    <t>formule A DWA</t>
  </si>
  <si>
    <t>formule A RWA</t>
  </si>
  <si>
    <t xml:space="preserve">teller =  </t>
  </si>
  <si>
    <r>
      <t>formule I 2,4</t>
    </r>
    <r>
      <rPr>
        <sz val="11"/>
        <color rgb="FFFF0000"/>
        <rFont val="Arial"/>
        <family val="2"/>
      </rPr>
      <t xml:space="preserve"> </t>
    </r>
  </si>
  <si>
    <t xml:space="preserve">als teller &gt; 50% :  </t>
  </si>
  <si>
    <t xml:space="preserve">formule I 2,3 </t>
  </si>
  <si>
    <t xml:space="preserve">als teller / A tot &gt; 50% :  </t>
  </si>
  <si>
    <t>teller / A tot =</t>
  </si>
  <si>
    <t xml:space="preserve">formule I 2,2 </t>
  </si>
  <si>
    <t xml:space="preserve">als V buff &gt;= V 20 :  </t>
  </si>
  <si>
    <t xml:space="preserve">V 20 =  </t>
  </si>
  <si>
    <t xml:space="preserve">lozingsdebiet =  </t>
  </si>
  <si>
    <t xml:space="preserve">V buff =  </t>
  </si>
  <si>
    <t xml:space="preserve">formule waar =  </t>
  </si>
  <si>
    <t xml:space="preserve">formule I 2,1 </t>
  </si>
  <si>
    <t xml:space="preserve">LOZ / A verhard =  </t>
  </si>
  <si>
    <t xml:space="preserve">A verhard =  </t>
  </si>
  <si>
    <t>formule I 2</t>
  </si>
  <si>
    <t xml:space="preserve">formule I 1 </t>
  </si>
  <si>
    <t xml:space="preserve">als 50% SW &gt;= LW :  </t>
  </si>
  <si>
    <t xml:space="preserve">noemer formule :  </t>
  </si>
  <si>
    <t xml:space="preserve">SW  =  </t>
  </si>
  <si>
    <t>ff</t>
  </si>
  <si>
    <t>%</t>
  </si>
  <si>
    <t>VRAAG OP ZICH NIET RELEVANT MEER</t>
  </si>
  <si>
    <t>ee</t>
  </si>
  <si>
    <t>dd</t>
  </si>
  <si>
    <t>cc</t>
  </si>
  <si>
    <t>radio button: 'YES' if "ja"; 'NO' if "nee"</t>
  </si>
  <si>
    <t>bb</t>
  </si>
  <si>
    <t>radio button: 'constant' if "wervelventiel of pomp"; 'lineair' if "knijpleiding of andere"</t>
  </si>
  <si>
    <t>XX</t>
  </si>
  <si>
    <t>r</t>
  </si>
  <si>
    <t xml:space="preserve">m³ </t>
  </si>
  <si>
    <t xml:space="preserve">LOZ </t>
  </si>
  <si>
    <t>bbb</t>
  </si>
  <si>
    <t>radio button: 'gemengd' OR 'gedeeltelijk gescheiden' OR 'volledig gescheiden'</t>
  </si>
  <si>
    <t>reference</t>
  </si>
  <si>
    <t>ambitieniveau 4 kan enkel gehaald worden wanneer al het afvalwater zelf gezuiverd wordt (hetzij door het bedrijf zelf, hetzij door een ander bedrijf, hetzij centraal op het bedrijventerrein)</t>
  </si>
  <si>
    <t>Indicator 3: ambitieniveau 4</t>
  </si>
  <si>
    <t>ambitieniveau 3 kan gehaald worden wanneer al het afvalwater geloosd wordt op het afvalwaterriool van een volledig gescheiden rioolstelsel dat aangesloten is op een openbaar zuiveringsstation</t>
  </si>
  <si>
    <t>Indicator 3: ambitieniveau 3</t>
  </si>
  <si>
    <t>ambitieniveau 2 kan gehaald worden wanneer al het afvalwater geloosd wordt op het afvalwaterriool van een gedeeltelijk gescheiden rioolstelsel dat aangesloten is op een openbaar zuiveringsstation</t>
  </si>
  <si>
    <t>Indicator 3: ambitieniveau 2</t>
  </si>
  <si>
    <t>ambitieniveau 1 kan gehaald worden wanneer al het afvalwater geloosd wordt op het afvalwaterriool van een gemengd rioolstelsel dat aangesloten is op een openbaar zuiveringsstation</t>
  </si>
  <si>
    <t>Indicator 3: ambitieniveau 1</t>
  </si>
  <si>
    <t xml:space="preserve">Deze indicator beoordeelt of het afvalwater van de site optimaal wordt afgevoerd naar een zuiveringsinstallatie Hierbij wordt de prioritisering zelfzuivering (op het bedrijf of centraal op het bedrijventerrein) – afvoer naar gescheiden riolering – afvoer naar gemengde riolering gevolgd, terwijl lozing van ongezuiverd afvalwater in het natuurlijk watersysteem als onaanvaardbaar beoordeeld wordt. </t>
  </si>
  <si>
    <t xml:space="preserve">Indicator 3: zuivering en lozing van afvalwater </t>
  </si>
  <si>
    <t>ambitieniveau 4 kan gehaald worden wanneer al het afstromend regenwater hetzij hergebruikt wordt, hetzij geïnfiltreerd wordt, hetzij geloosd wordt in oppervlaktewater of in een RWA-riool, mits voldoende afknijping en buffering</t>
  </si>
  <si>
    <t>Indicator 2.5: ambitieniveau 4</t>
  </si>
  <si>
    <t>ambitieniveau 3 kan bijvoorbeeld gehaald worden wanneer 2/3 van de verharde oppervlakte aangesloten is op een buffer met hergebruik of een infiltratievoorziening en 1/3 geloosd wordt in een gemengde riolering via een gescheiden afvoer op het bedrijfsterrein</t>
  </si>
  <si>
    <t>Indicator 2.5: ambitieniveau 3</t>
  </si>
  <si>
    <t>ambitieniveau 2 kan bijvoorbeeld gehaald worden wanneer het afstromende regenwater geloosd wordt in oppervlaktewater of in een RWA-riool, maar slechts de helft van de benodigde buffering wordt uitgebouwd</t>
  </si>
  <si>
    <t>Indicator 2.5: ambitieniveau 2</t>
  </si>
  <si>
    <t>ambitieniveau 1 kan bijvoorbeeld gehaald worden wanneer al het afstromende regenwater geloosd wordt in een openbaar gemengd rioolstelsel, via een gescheiden afvoer op het bedrijfsterrein</t>
  </si>
  <si>
    <t>Indicator 2.5: ambitieniveau 1</t>
  </si>
  <si>
    <t>Subindicator I2.5 bekijkt of het regenwater op de meest duurzame manier wordt aangewend of afgevoerd naar het natuurlijk watersysteem. Hierbij wordt de prioritisering zoals ook gehanteerd in Vlarem II aangehouden. Hergebruik van water en infiltratie van water (= teruggave aan het natuurlijk grondwatersysteem) worden hierbij aangemoedigd. Ook afvoer van het regenwater naar een waterloop of een regenwaterriool wordt niet negatief beoordeeld, op voorwaarde dat hierbij de piekdebieten voldoende worden afgezwakt. Afvoer van het regenwater naar een gemengde riolering wordt negatief beoordeeld omdat dit een hydraulische overbelasting van het rioolstelsel (met overstortingen van afvalwater tot gevolg) en de afwaartse zuiveringsinstallatie (met een lager zuiveringsrendement tot gevolg) met zich meebrengt. Wanneer het regenwater door het bedrijf samen met het afvalwater wordt afgevoerd d.m.v. een gemengde riolering, krijgt dit de meest negatieve beoordeling.</t>
  </si>
  <si>
    <r>
      <t>Subindicator I</t>
    </r>
    <r>
      <rPr>
        <b/>
        <i/>
        <vertAlign val="subscript"/>
        <sz val="12"/>
        <rFont val="Times New Roman"/>
        <family val="1"/>
      </rPr>
      <t>2.5</t>
    </r>
    <r>
      <rPr>
        <sz val="12"/>
        <rFont val="Times New Roman"/>
        <family val="1"/>
      </rPr>
      <t xml:space="preserve"> </t>
    </r>
  </si>
  <si>
    <t>ambitieniveau 4 kan gehaald worden wanneer het afstromend regenwater van alle verharde oppervlakte dat een risico vormt voor vervuiling primair behandeld wordt</t>
  </si>
  <si>
    <t>Indicator 2.4: ambitieniveau 4</t>
  </si>
  <si>
    <t>ambitieniveau 3 kan gehaald worden wanneer bijvoorbeeld maximaal 1/8 van de verharding (zonder nazuivering) gebruikt wordt voor buitenopslag of maximaal 1/4 van de verharding (zonder nazuivering) bestaat uit wegenis of parking voor wagens</t>
  </si>
  <si>
    <t>Indicator 2.4: ambitieniveau 3</t>
  </si>
  <si>
    <t>ambitieniveau 2 kan gehaald worden wanneer bijvoorbeeld maximaal 1/4 van de verharding (zonder nazuivering) gebruikt wordt voor buitenopslag of maximaal 1/2 van de verharding (zonder nazuivering) bestaat uit wegenis of parking voor wagens</t>
  </si>
  <si>
    <t>Indicator 2.4: ambitieniveau 2</t>
  </si>
  <si>
    <t>ambitieniveau 1 kan gehaald worden wanneer bijvoorbeeld maximaal 3/8 van de verharding (zonder nazuivering) gebruikt wordt voor buitenopslag of maximaal 3/4 van de verharding (zonder nazuivering) bestaat uit wegenis of parking voor wagens</t>
  </si>
  <si>
    <t>Indicator 2.4: ambitieniveau 1</t>
  </si>
  <si>
    <t>Subindicator I2.4 beoordeelt het risico op vervuiling van het afstromend regenwater (bv. met olie) door contact met vervuilde oppervlakken. Hierbij wordt ervan uitgegaan dat opslagplaatsen in open lucht, laad- en losplaatsen en parkings en wegenis voor vracht- en personenwagens een verhoogd risico op vervuiling hebben.</t>
  </si>
  <si>
    <r>
      <t>Subindicator I</t>
    </r>
    <r>
      <rPr>
        <b/>
        <i/>
        <vertAlign val="subscript"/>
        <sz val="12"/>
        <rFont val="Times New Roman"/>
        <family val="1"/>
      </rPr>
      <t>2.4</t>
    </r>
    <r>
      <rPr>
        <sz val="12"/>
        <rFont val="Times New Roman"/>
        <family val="1"/>
      </rPr>
      <t xml:space="preserve"> </t>
    </r>
  </si>
  <si>
    <t>ambitieniveau 4 kan gehaald worden wanneer het afstromend regenwater van alle verharde oppervlakte ofwel hergebruikt wordt, ofwel vastgehouden wordt op het terrein (groendak, infiltratie naar de ondergrond)</t>
  </si>
  <si>
    <t>Indicator 2.3: ambitieniveau 4</t>
  </si>
  <si>
    <t>ambitieniveau 3 kan gehaald worden wanneer minimaal 7/8 van het terrein onverhard blijft of op een duurzame manier zoals aangehaald onder ambitieniveau 4 verhard wordt</t>
  </si>
  <si>
    <t>Indicator 2.3: ambitieniveau 3</t>
  </si>
  <si>
    <t xml:space="preserve">ambitieniveau 2 kan gehaald worden wanneer minimaal 3/4 van het terrein onverhard blijft of op een duurzame manier zoals aangehaald onder ambitieniveau 4 verhard wordt </t>
  </si>
  <si>
    <t>Indicator 2.3: ambitieniveau 2</t>
  </si>
  <si>
    <t>ambitieniveau 1 kan gehaald worden wanneer minimaal 5/8 van het terrein onverhard blijft of op een duurzame manier zoals aangehaald onder ambitieniveau 4 verhard wordt</t>
  </si>
  <si>
    <t>Indicator 2.3: ambitieniveau 1</t>
  </si>
  <si>
    <t>Subindicator I2.3 geeft een beoordeling van de duurzaamheid van de verharding van het terrein. Hierbij wordt ervan uitgegaan dat groendaken en waterdoorlatende verharding duurzaam zijn en dat de overige verharding niet duurzaam is, tenzij deze is aangesloten op een buffervoorziening met hergebruik van het water of op een infiltratievoorziening</t>
  </si>
  <si>
    <r>
      <t>Subindicator I</t>
    </r>
    <r>
      <rPr>
        <b/>
        <i/>
        <vertAlign val="subscript"/>
        <sz val="12"/>
        <rFont val="Times New Roman"/>
        <family val="1"/>
      </rPr>
      <t>2.3</t>
    </r>
    <r>
      <rPr>
        <sz val="12"/>
        <rFont val="Times New Roman"/>
        <family val="1"/>
      </rPr>
      <t xml:space="preserve"> </t>
    </r>
  </si>
  <si>
    <t>ambitieniveau 4 kan gehaald worden wanneer voldoende buffering wordt uitgebouwd om de overloop slechts één maal om de 20 jaar in werking te laten treden</t>
  </si>
  <si>
    <t>Indicator 2.2: ambitieniveau 4</t>
  </si>
  <si>
    <t>ambitieniveau 3 kan gehaald worden wanneer 75% van het benodigde buffervolume om de overloop slechts één maal om de 20 jaar in werking te laten treden wordt utgebouwd; afhankelijk van het doorvoerdebiet zal de overloop dan één maal om de 5 tot 10 jaar in werking treden</t>
  </si>
  <si>
    <t>Indicator 2.2: ambitieniveau 3</t>
  </si>
  <si>
    <t>ambitieniveau 2 kan gehaald worden wanneer 50% van het benodigde buffervolume om de overloop slechts één maal om de 20 jaar in werking te laten treden wordt utgebouwd; afhankelijk van het doorvoerdebiet zal de overloop dan één maal om de 1 tot 5 jaar in werking treden</t>
  </si>
  <si>
    <t>Indicator 2.2: ambitieniveau 2</t>
  </si>
  <si>
    <t>ambitieniveau 1 kan gehaald worden wanneer 25% van het benodigde buffervolume om de overloop slechts één maal om de 20 jaar in werking te laten treden wordt utgebouwd; de overloop zal dan meer dan één maal per jaar in werking treden</t>
  </si>
  <si>
    <t>Indicator 2.2: ambitieniveau 1</t>
  </si>
  <si>
    <t xml:space="preserve">Subindicator I2.1 en I2.2 beoordelen of de piekafvoer van de neerslag voldoende wordt afgevlakt alvorens deze geloosd wordt (in oppervlaktewater of riolering). De bedoeling is om een hydraulische overbelasting van hetzij de waterloop, hetzij de riolering te vermijden. Hiertoe wordt beoordeeld of het afvoerdebiet naar waterloop of riolering voldoende beperkt wordt (I2.1) en of er voldoende buffervolume wordt uitgebouwd (I2.2) om te voorkomen dat de overloop van deze buffering niet te vaak in werking treedt (met grote piekdebieten tot gevolg). </t>
  </si>
  <si>
    <r>
      <t>Subindicator I</t>
    </r>
    <r>
      <rPr>
        <b/>
        <i/>
        <vertAlign val="subscript"/>
        <sz val="12"/>
        <rFont val="Times New Roman"/>
        <family val="1"/>
      </rPr>
      <t>2.2</t>
    </r>
    <r>
      <rPr>
        <vertAlign val="subscript"/>
        <sz val="12"/>
        <rFont val="Times New Roman"/>
        <family val="1"/>
      </rPr>
      <t xml:space="preserve"> </t>
    </r>
  </si>
  <si>
    <t>ambitieniveau 4 kan gehaald worden wanneer het lozingsdebiet beperkt wordt tot 10 l/s/ha</t>
  </si>
  <si>
    <t>Indicator 2.1: ambitieniveau 4</t>
  </si>
  <si>
    <t>ambitieniveau 3 kan gehaald worden wanneer het lozingsdebiet beperkt wordt tot 17,5 l/s/ha</t>
  </si>
  <si>
    <t>Indicator 2.1: ambitieniveau 3</t>
  </si>
  <si>
    <t>ambitieniveau 2 kan gehaald worden wanneer het lozingsdebiet beperkt wordt tot 25 l/s/ha</t>
  </si>
  <si>
    <t>Indicator 2.1: ambitieniveau 2</t>
  </si>
  <si>
    <t>ambitieniveau 1 kan gehaald worden wanneer het lozingsdebiet beperkt wordt tot 32,5 l/s/ha</t>
  </si>
  <si>
    <t>Indicator 2.1: ambitieniveau 1</t>
  </si>
  <si>
    <r>
      <t>Subindicator I</t>
    </r>
    <r>
      <rPr>
        <b/>
        <i/>
        <vertAlign val="subscript"/>
        <sz val="12"/>
        <rFont val="Times New Roman"/>
        <family val="1"/>
      </rPr>
      <t>2.1</t>
    </r>
    <r>
      <rPr>
        <b/>
        <i/>
        <sz val="12"/>
        <rFont val="Times New Roman"/>
        <family val="1"/>
      </rPr>
      <t xml:space="preserve"> </t>
    </r>
  </si>
  <si>
    <t>Deze indicator beoordeelt of het regenwater van de site optimaal wordt afgevoerd. Aspecten die hierbij beschouwd worden zijn het voldoende vertraagd afvoeren van de piekneerslag, dit in combinatie met het aanwezige buffervolume, de duurzaamheid van de verharding van het terrein, de vervuiling van het regenwater door contact met vervuilde oppervlakken en de wijze van afvoeren van het regenwater. Bij dit laatste punt wordt de prioritisering hergebruik – infiltratie – lozing op oppervlaktewater of regenwaterriool – lozing op gemengde riool – gemengde lozing gevolgd.</t>
  </si>
  <si>
    <t xml:space="preserve">Indicator 2: lozing van niet-verontreinigd hemelwater </t>
  </si>
  <si>
    <t>ambitieniveau 4 kan gehaald worden wanneer geen leidingwater, grondwater of oppervlaktewater (tenzij voor de productie van producten die dit vragen) wordt gebruikt, uitgezonderd een beperkt deel voor de helft van het sanitair waterverbruik</t>
  </si>
  <si>
    <t>Indicator 1: ambitieniveau 4</t>
  </si>
  <si>
    <t>ambitieniveau 3 kan gehaald worden wanneer minder dan 25% van het waterverbruik (uitgezonderd de helft van het sanitair waterverbruik en voor de productie van producten die dit vragen) uit leidingwater of oppervlaktewater bestaat; bij het gebruik van grondwater mag dit slechts 10% van het waterverbruik bedragen</t>
  </si>
  <si>
    <t>Indicator 1: ambitieniveau 3</t>
  </si>
  <si>
    <t>ambitieniveau 2 kan gehaald worden wanneer minder dan 50% van het waterverbruik (uitgezonderd de helft van het sanitair waterverbruik en voor de productie van producten die dit vragen) uit leidingwater of oppervlaktewater bestaat; bij het gebruik van grondwater mag dit slechts 20% van het waterverbruik bedragen</t>
  </si>
  <si>
    <t>Indicator 1: ambitieniveau 2</t>
  </si>
  <si>
    <t>ambitieniveau 1 kan gehaald worden wanneer minder dan 75% van het waterverbruik (uitgezonderd de helft van het sanitair waterverbruik en voor de productie van producten die dit vragen) uit leidingwater of oppervlaktewater bestaat; bij het gebruik van grondwater mag dit slechts 30% van het waterverbruik bedragen</t>
  </si>
  <si>
    <t>Indicator 1: ambitieniveau 1</t>
  </si>
  <si>
    <t xml:space="preserve">Deze indicator beoordeelt of de meest optimale waterbronnen worden gebruikt binnen het bedrijf volgens het principe dat het gebruik van leidingwater, oppervlaktewater en zeker grondwater zoveel mogelijk ontmoedigd dient te worden. </t>
  </si>
  <si>
    <t>Indicator 1: watergebruik</t>
  </si>
  <si>
    <t>Item</t>
  </si>
  <si>
    <t xml:space="preserve">indicateur I 1 : </t>
  </si>
  <si>
    <t xml:space="preserve">indicateur I 2 : </t>
  </si>
  <si>
    <t xml:space="preserve">indicateur I 2.1 : </t>
  </si>
  <si>
    <t xml:space="preserve">indicateur I 2.2 : </t>
  </si>
  <si>
    <t xml:space="preserve">indicateur I 2.3 : </t>
  </si>
  <si>
    <t xml:space="preserve">indicateur I 2.4 : </t>
  </si>
  <si>
    <t xml:space="preserve">indicateur I 2.5 : </t>
  </si>
  <si>
    <t xml:space="preserve">indicateur I 3 : </t>
  </si>
  <si>
    <t>ZONE A CACHER</t>
  </si>
  <si>
    <t>PAGE A CACHER</t>
  </si>
  <si>
    <t>TOTAL</t>
  </si>
  <si>
    <t>TARGET 4</t>
  </si>
  <si>
    <t>% 3 - 4</t>
  </si>
  <si>
    <t>TARGET 3</t>
  </si>
  <si>
    <t>TARGET 2</t>
  </si>
  <si>
    <t>% 1 - 2</t>
  </si>
  <si>
    <t>TARGET 1</t>
  </si>
  <si>
    <t>TARGET SITE</t>
  </si>
  <si>
    <r>
      <t xml:space="preserve">SI R25% &gt;= 1 OU 2 ET SI R75% &gt;=3 OU 4 </t>
    </r>
    <r>
      <rPr>
        <i/>
        <sz val="10"/>
        <color theme="1"/>
        <rFont val="Wingdings"/>
        <charset val="2"/>
      </rPr>
      <t>à</t>
    </r>
    <r>
      <rPr>
        <i/>
        <sz val="10"/>
        <color theme="1"/>
        <rFont val="Arial Narrow"/>
        <family val="2"/>
      </rPr>
      <t xml:space="preserve"> TARGET 4</t>
    </r>
  </si>
  <si>
    <r>
      <t xml:space="preserve">SI R45% &gt;= 1 OU 2 ET SI R55% &gt;=3 OU 4 </t>
    </r>
    <r>
      <rPr>
        <i/>
        <sz val="10"/>
        <color theme="1"/>
        <rFont val="Wingdings"/>
        <charset val="2"/>
      </rPr>
      <t>à</t>
    </r>
    <r>
      <rPr>
        <i/>
        <sz val="10"/>
        <color theme="1"/>
        <rFont val="Arial Narrow"/>
        <family val="2"/>
      </rPr>
      <t xml:space="preserve"> TARGET 3</t>
    </r>
  </si>
  <si>
    <r>
      <t xml:space="preserve">SI R60% &gt;= 1 OU 2 ET SI R40% &gt;=3 OU 4 </t>
    </r>
    <r>
      <rPr>
        <i/>
        <sz val="10"/>
        <color theme="1"/>
        <rFont val="Wingdings"/>
        <charset val="2"/>
      </rPr>
      <t>à</t>
    </r>
    <r>
      <rPr>
        <i/>
        <sz val="10"/>
        <color theme="1"/>
        <rFont val="Arial Narrow"/>
        <family val="2"/>
      </rPr>
      <t xml:space="preserve"> TARGET 2</t>
    </r>
  </si>
  <si>
    <r>
      <t xml:space="preserve">SI R75% &gt;= 1 OU 2 ET SI R25% &gt;=3 OU 4 </t>
    </r>
    <r>
      <rPr>
        <i/>
        <sz val="10"/>
        <color theme="1"/>
        <rFont val="Wingdings"/>
        <charset val="2"/>
      </rPr>
      <t>à</t>
    </r>
    <r>
      <rPr>
        <i/>
        <sz val="10"/>
        <color theme="1"/>
        <rFont val="Arial Narrow"/>
        <family val="2"/>
      </rPr>
      <t xml:space="preserve"> TARGET 1</t>
    </r>
  </si>
  <si>
    <t>PRINCIPE</t>
  </si>
  <si>
    <t>EVALUATION GLOBALE - TARGET unique MATERIAUX</t>
  </si>
  <si>
    <t>B.3.1</t>
  </si>
  <si>
    <t>B.2.1</t>
  </si>
  <si>
    <t>B.1.1</t>
  </si>
  <si>
    <t>A.2.1</t>
  </si>
  <si>
    <t>A.1.1</t>
  </si>
  <si>
    <t xml:space="preserve">Synthèse SITE </t>
  </si>
  <si>
    <t>B.1.4</t>
  </si>
  <si>
    <t>B.1.3</t>
  </si>
  <si>
    <t>B.1.2</t>
  </si>
  <si>
    <t>A.2.2</t>
  </si>
  <si>
    <t>A.1.2</t>
  </si>
  <si>
    <t>FSC/PEFC</t>
  </si>
  <si>
    <t>B3.1.f</t>
  </si>
  <si>
    <t>Cond 4</t>
  </si>
  <si>
    <t>Cond 3</t>
  </si>
  <si>
    <t>Cond 2</t>
  </si>
  <si>
    <t>Cond 1</t>
  </si>
  <si>
    <t>B3.1.e</t>
  </si>
  <si>
    <t>B3.1.d</t>
  </si>
  <si>
    <t>B3.1.c</t>
  </si>
  <si>
    <t>B3.1.b</t>
  </si>
  <si>
    <t>B3.1.a</t>
  </si>
  <si>
    <t>B3.1</t>
  </si>
  <si>
    <t>ü</t>
  </si>
  <si>
    <t>B3</t>
  </si>
  <si>
    <t>Site</t>
  </si>
  <si>
    <t>B2.1.d</t>
  </si>
  <si>
    <t>B2.1.c</t>
  </si>
  <si>
    <t>B2.1.b</t>
  </si>
  <si>
    <t>B2.1.a</t>
  </si>
  <si>
    <t>B2.1</t>
  </si>
  <si>
    <t>Périmètre restant</t>
  </si>
  <si>
    <t>B2</t>
  </si>
  <si>
    <t>B1.1.i</t>
  </si>
  <si>
    <t>Amélioration !!</t>
  </si>
  <si>
    <t>T1 soit 50%</t>
  </si>
  <si>
    <t>B1.1.h</t>
  </si>
  <si>
    <t>7c</t>
  </si>
  <si>
    <t>T1 soit 25%</t>
  </si>
  <si>
    <t>B1.1.g</t>
  </si>
  <si>
    <t>6c</t>
  </si>
  <si>
    <t>B1.1.f</t>
  </si>
  <si>
    <t>5c</t>
  </si>
  <si>
    <t>T2 soit 50%</t>
  </si>
  <si>
    <t>B1.1.e</t>
  </si>
  <si>
    <t>5a</t>
  </si>
  <si>
    <t>B1.1.d</t>
  </si>
  <si>
    <t>1c</t>
  </si>
  <si>
    <t>T4 soit 100%</t>
  </si>
  <si>
    <t>B1.1.c</t>
  </si>
  <si>
    <t>1a</t>
  </si>
  <si>
    <t>(Opti enviro NIBE)</t>
  </si>
  <si>
    <t>B1.1.b</t>
  </si>
  <si>
    <t>Condition 1</t>
  </si>
  <si>
    <t>B1.1.a</t>
  </si>
  <si>
    <t>B1.1</t>
  </si>
  <si>
    <t>B1</t>
  </si>
  <si>
    <t>recycl</t>
  </si>
  <si>
    <t>enviro opti</t>
  </si>
  <si>
    <t>Surface restante</t>
  </si>
  <si>
    <t>A1.1.i</t>
  </si>
  <si>
    <t xml:space="preserve">Amélioration </t>
  </si>
  <si>
    <t>A1.1.h</t>
  </si>
  <si>
    <t>A1.1.g</t>
  </si>
  <si>
    <t>A1.1.f</t>
  </si>
  <si>
    <t>A1.1.e</t>
  </si>
  <si>
    <t>7b</t>
  </si>
  <si>
    <t>A1.1.d</t>
  </si>
  <si>
    <t>7a</t>
  </si>
  <si>
    <t>A1.1.c</t>
  </si>
  <si>
    <t>(Issu recy)</t>
  </si>
  <si>
    <t>T3 soit 75%</t>
  </si>
  <si>
    <t>A1.1.b</t>
  </si>
  <si>
    <t>Condition 2</t>
  </si>
  <si>
    <t>4b</t>
  </si>
  <si>
    <t>A1.1.a</t>
  </si>
  <si>
    <t>A2.1</t>
  </si>
  <si>
    <t>A2</t>
  </si>
  <si>
    <t>A1.1.s</t>
  </si>
  <si>
    <t>A1.1.r</t>
  </si>
  <si>
    <t>A1.1.q</t>
  </si>
  <si>
    <t>A1.1.p</t>
  </si>
  <si>
    <t>A1.1.o</t>
  </si>
  <si>
    <t>A1.1.n</t>
  </si>
  <si>
    <t>A1.1.m</t>
  </si>
  <si>
    <t>Recyclage</t>
  </si>
  <si>
    <t>A1.1.l</t>
  </si>
  <si>
    <t>A1.1.k</t>
  </si>
  <si>
    <t>A1.1.j</t>
  </si>
  <si>
    <t>/</t>
  </si>
  <si>
    <t>(Ration./usage.)</t>
  </si>
  <si>
    <t>Condition 3</t>
  </si>
  <si>
    <t>A1.1</t>
  </si>
  <si>
    <t>A1</t>
  </si>
  <si>
    <t>Aménagement de site</t>
  </si>
  <si>
    <t>à encoder</t>
  </si>
  <si>
    <t>B2.2.d</t>
  </si>
  <si>
    <t>B2.2.c</t>
  </si>
  <si>
    <t>B2.2.b</t>
  </si>
  <si>
    <t>B2.2.a</t>
  </si>
  <si>
    <t>Radon</t>
  </si>
  <si>
    <t>B2.2</t>
  </si>
  <si>
    <t>B2.1.k</t>
  </si>
  <si>
    <t>Cond 6</t>
  </si>
  <si>
    <t>Cond 5</t>
  </si>
  <si>
    <t>B2.1.j</t>
  </si>
  <si>
    <t>B2.1.i</t>
  </si>
  <si>
    <t>B2.1.h</t>
  </si>
  <si>
    <t xml:space="preserve">Considéré comme source de pollution intérieure </t>
  </si>
  <si>
    <t>B2.1.f</t>
  </si>
  <si>
    <t>B2.1.e</t>
  </si>
  <si>
    <t>B1.4.l</t>
  </si>
  <si>
    <t>B1.4.k</t>
  </si>
  <si>
    <t xml:space="preserve">Recyclable et recyclé sur notre marché </t>
  </si>
  <si>
    <t>B1.4.j</t>
  </si>
  <si>
    <t>B1.4.i</t>
  </si>
  <si>
    <t>B1.4.h</t>
  </si>
  <si>
    <t xml:space="preserve">Difficilement recyclable et peu recyclé sur notre marché </t>
  </si>
  <si>
    <t>B1.4.g</t>
  </si>
  <si>
    <t>B1.4.f</t>
  </si>
  <si>
    <t>B1.4.e</t>
  </si>
  <si>
    <t>B1.4.d</t>
  </si>
  <si>
    <t>B1.4.c</t>
  </si>
  <si>
    <t>B1.4.b</t>
  </si>
  <si>
    <t>B1.4.a</t>
  </si>
  <si>
    <t>B1.4</t>
  </si>
  <si>
    <t>B1.3.d</t>
  </si>
  <si>
    <t>B1.3.c</t>
  </si>
  <si>
    <t>B1.3.b</t>
  </si>
  <si>
    <t>B1.3.a</t>
  </si>
  <si>
    <t>B1.3</t>
  </si>
  <si>
    <t>B1.2.n</t>
  </si>
  <si>
    <t>B1.2.m</t>
  </si>
  <si>
    <t>B1.2.l</t>
  </si>
  <si>
    <t>B1.2.k</t>
  </si>
  <si>
    <t>Transformation faible</t>
  </si>
  <si>
    <t>Disponibilité importante</t>
  </si>
  <si>
    <t>Renouvelabilité importante</t>
  </si>
  <si>
    <t>B1.2.j</t>
  </si>
  <si>
    <t>Transformation importante</t>
  </si>
  <si>
    <t>Disponibilité faible</t>
  </si>
  <si>
    <t>Renouvelabilité nulle</t>
  </si>
  <si>
    <t>B1.2.i</t>
  </si>
  <si>
    <t>B1.2.h</t>
  </si>
  <si>
    <t>Disponibilité moyenne</t>
  </si>
  <si>
    <t>B1.2.g</t>
  </si>
  <si>
    <t>Renouvelabilité moyenne</t>
  </si>
  <si>
    <t>B1.2.f</t>
  </si>
  <si>
    <t>Transformation moyenne</t>
  </si>
  <si>
    <t>B1.2.e</t>
  </si>
  <si>
    <t>B1.2.d</t>
  </si>
  <si>
    <t>B1.2.c</t>
  </si>
  <si>
    <t>B1.2.b</t>
  </si>
  <si>
    <t>Renouvelabilité faible</t>
  </si>
  <si>
    <t>B1.2.a</t>
  </si>
  <si>
    <t>B1.2</t>
  </si>
  <si>
    <t>scd-œuvre</t>
  </si>
  <si>
    <t>A2.2.h</t>
  </si>
  <si>
    <t>A2.2.g</t>
  </si>
  <si>
    <t>A2.2.f</t>
  </si>
  <si>
    <t>A2.2.e</t>
  </si>
  <si>
    <t>A2.2.d</t>
  </si>
  <si>
    <t>A2.2.c</t>
  </si>
  <si>
    <t>A2.2.b</t>
  </si>
  <si>
    <t>A2.2.a</t>
  </si>
  <si>
    <t>A2.2</t>
  </si>
  <si>
    <t>A2.1.m</t>
  </si>
  <si>
    <t>A2.1.l</t>
  </si>
  <si>
    <t xml:space="preserve">Durée de vie &gt; 40 ans </t>
  </si>
  <si>
    <t>A2.1.k</t>
  </si>
  <si>
    <t>A2.1.j</t>
  </si>
  <si>
    <t>A2.1.i</t>
  </si>
  <si>
    <t>A2.1.h</t>
  </si>
  <si>
    <t>A2.1.g</t>
  </si>
  <si>
    <t>A2.1.f</t>
  </si>
  <si>
    <t>A2.1.e</t>
  </si>
  <si>
    <t>A2.1.d</t>
  </si>
  <si>
    <t>A2.1.c</t>
  </si>
  <si>
    <t>A2.1.b</t>
  </si>
  <si>
    <t>A2.1.a</t>
  </si>
  <si>
    <t>A1.2.e</t>
  </si>
  <si>
    <t>A1.2.d</t>
  </si>
  <si>
    <t>A1.2.c</t>
  </si>
  <si>
    <t>A1.2.b</t>
  </si>
  <si>
    <t>A1.2.a</t>
  </si>
  <si>
    <t>A1.2</t>
  </si>
  <si>
    <t>(rentrer dans le détail comme point A.1.3?)</t>
  </si>
  <si>
    <t>Préfabrication</t>
  </si>
  <si>
    <t>3_finitions</t>
  </si>
  <si>
    <t>1_Éléments lourds / légers / sandwichs</t>
  </si>
  <si>
    <t>Bâtiment</t>
  </si>
  <si>
    <t>NE PAS SUPPRIMER</t>
  </si>
  <si>
    <t>SITE ZONE COMMUNE</t>
  </si>
  <si>
    <t>CLASSEMENT SO2</t>
  </si>
  <si>
    <t>CLASSEMENT CO2</t>
  </si>
  <si>
    <t>CLASSEMENT NRE</t>
  </si>
  <si>
    <t>Colonnes béton &amp; Poutres métal</t>
  </si>
  <si>
    <t>Colonnes métal &amp; Poutres métal</t>
  </si>
  <si>
    <t>Colonnes béton &amp; Poutres béton</t>
  </si>
  <si>
    <t>Colonnes bois &amp; Poutres métal</t>
  </si>
  <si>
    <t>Colonnes bois (FSC) &amp; Poutres métal</t>
  </si>
  <si>
    <t>Colonnes béton &amp; Poutres bois</t>
  </si>
  <si>
    <t>Colonnes métal &amp; Poutres bois</t>
  </si>
  <si>
    <t>Colonnes métal &amp; Poutres bois (FSC)</t>
  </si>
  <si>
    <t>Colonnes béton &amp; Poutres bois (FSC)</t>
  </si>
  <si>
    <t>Colonnes bois &amp; Poutres bois</t>
  </si>
  <si>
    <t>Colonnes bois (FSC) &amp; Poutres bois</t>
  </si>
  <si>
    <t>Colonnes bois &amp; Poutres bois (FSC)</t>
  </si>
  <si>
    <t>Colonnes bois (FSC) &amp; Poutres bois (FSC)</t>
  </si>
  <si>
    <t>SO2</t>
  </si>
  <si>
    <t>CO2</t>
  </si>
  <si>
    <t>NRE</t>
  </si>
  <si>
    <t>MOY pondérée</t>
  </si>
  <si>
    <t>Structures portantes : PORTIQUES</t>
  </si>
  <si>
    <t>Eléments lourds en Terre cuite/MW avec bardage bois</t>
  </si>
  <si>
    <t>Eléments lourds en Terre cuite/MW avec enduit</t>
  </si>
  <si>
    <t>Eléments lourds en Terre cuite/MW avec briques</t>
  </si>
  <si>
    <t>Eléments lourds en Terre cuite/MW avec bardage métallique</t>
  </si>
  <si>
    <t>Eléments lourds en béton cellulaire avec bardage bois</t>
  </si>
  <si>
    <t>Eléments lourds en béton cellulaire avec enduit</t>
  </si>
  <si>
    <t>Eléments lourds en béton cellulaire avec briques</t>
  </si>
  <si>
    <t>Eléments lourds en béton cellulaire avec bardage métallique</t>
  </si>
  <si>
    <t>Eléments lourds en béton cellulaire</t>
  </si>
  <si>
    <t>Eléments lourds Béton/MW avec bardage bois</t>
  </si>
  <si>
    <t>Eléments lourds Béton/MW avec enduit</t>
  </si>
  <si>
    <t>Eléments lourds Béton/MW avec briques</t>
  </si>
  <si>
    <t>Eléments lourds Béton/MW avec bardage métallique</t>
  </si>
  <si>
    <t>Panneau sandwich Bois/fibres bois/Bois</t>
  </si>
  <si>
    <t>Panneau sandwich Bois/MW/Bois</t>
  </si>
  <si>
    <t>Panneau sandwich Acier/MW/Acier</t>
  </si>
  <si>
    <t>Panneau sandwich Acier/PUR/Acier</t>
  </si>
  <si>
    <t>Panneau sandwich Béton/PUR/Béton</t>
  </si>
  <si>
    <t>Caisson Bois/Cellulose avec bardage bois</t>
  </si>
  <si>
    <t>Caisson Bois/Cellulose avec enduit</t>
  </si>
  <si>
    <t>Caisson Bois/Cellulose avec briques</t>
  </si>
  <si>
    <t>Caisson Bois/Cellulose avec bardage métallique</t>
  </si>
  <si>
    <t>Caisson Bois, MW avec bardage bois</t>
  </si>
  <si>
    <t>Caisson bois/MW  avec enduit</t>
  </si>
  <si>
    <t>Caisson Bois, MW avec briques</t>
  </si>
  <si>
    <t>Caisson bois/MW avec bardage métallique</t>
  </si>
  <si>
    <t>Caisson acier/Cellulose avec bardage bois</t>
  </si>
  <si>
    <t>Caisson acier/Cellulose avec enduit</t>
  </si>
  <si>
    <t>Caisson acier/Cellulose avec briques</t>
  </si>
  <si>
    <t>Caisson acier/Cellulose avec bardage métallique</t>
  </si>
  <si>
    <t>Caisson acier/MW avec bardage bois</t>
  </si>
  <si>
    <t>Caisson acier/MW avec enduit</t>
  </si>
  <si>
    <t>Caisson acier/MW avec briques</t>
  </si>
  <si>
    <t>Caisson acier/MW avec bardage métallique</t>
  </si>
  <si>
    <t>Panneau sandwich Acier/Polyuréthane/Acier</t>
  </si>
  <si>
    <t>Panneau sandwich Béton/Polyuréthane/Béton</t>
  </si>
  <si>
    <t>Panneau sandwich Bois/Fibres bois/Bois</t>
  </si>
  <si>
    <t>Panneau sandwich Acier/Laine minérale/Acier</t>
  </si>
  <si>
    <t>Panneau sandwich Bois/Laine minérale/Bois</t>
  </si>
  <si>
    <t>Eléments lourds en Terre cuite &amp; Autre isolant pétrochimique &amp; Bardage bois</t>
  </si>
  <si>
    <t>Eléments lourds en Terre cuite &amp; Autre isolant végétal &amp; Bardage bois</t>
  </si>
  <si>
    <t>Eléments lourds en Terre cuite &amp; Laine minérale &amp; Bardage bois</t>
  </si>
  <si>
    <t>Eléments lourds en Terre cuite &amp; Autre isolant pétrochimique &amp; Enduit</t>
  </si>
  <si>
    <t>Eléments lourds en Terre cuite &amp; Autre isolant végétal &amp; Enduit</t>
  </si>
  <si>
    <t>Eléments lourds en Terre cuite &amp; Laine minérale &amp; Enduit</t>
  </si>
  <si>
    <t>Eléments lourds en Terre cuite &amp; Autre isolant pétrochimique &amp; Briques</t>
  </si>
  <si>
    <t>Eléments lourds en Terre cuite &amp; Autre isolant végétal &amp; Briques</t>
  </si>
  <si>
    <t>Eléments lourds en Terre cuite &amp; Laine minérale &amp; Briques</t>
  </si>
  <si>
    <t>Eléments lourds en Terre cuite &amp; Autre isolant pétrochimique &amp; Bardage métallique</t>
  </si>
  <si>
    <t>Eléments lourds en Terre cuite &amp; Autre isolant végétal &amp; Bardage métallique</t>
  </si>
  <si>
    <t>Eléments lourds en Terre cuite &amp; Laine minérale &amp; Bardage métallique</t>
  </si>
  <si>
    <t>Eléments lourds en béton cellulaire &amp; Bardage bois</t>
  </si>
  <si>
    <t>Eléments lourds en béton cellulaire &amp; Enduit</t>
  </si>
  <si>
    <t>Eléments lourds en béton cellulaire &amp; Briques</t>
  </si>
  <si>
    <t>Eléments lourds en béton cellulaire &amp; Bardage métallique</t>
  </si>
  <si>
    <t>Eléments lourds en béton cellulaire &amp; Sans</t>
  </si>
  <si>
    <t>Eléments lourds Autre &amp; Autre isolant pétrochimique &amp; Bardage bois</t>
  </si>
  <si>
    <t>Eléments lourds Autre &amp; Autre isolant végétal &amp; Bardage bois</t>
  </si>
  <si>
    <t>Eléments lourds Autre &amp; Laine minérale &amp; Bardage bois</t>
  </si>
  <si>
    <t>Eléments lourds Autre &amp; Autre isolant pétrochimique &amp; Enduit</t>
  </si>
  <si>
    <t>Eléments lourds Autre &amp; Autre isolant végétal &amp; Enduit</t>
  </si>
  <si>
    <t>Eléments lourds Autre &amp; Laine minérale &amp; Enduit</t>
  </si>
  <si>
    <t>Eléments lourds Autre &amp; Autre isolant pétrochimique &amp; Briques</t>
  </si>
  <si>
    <t>Eléments lourds Autre &amp; Autre isolant végétal &amp; Briques</t>
  </si>
  <si>
    <t>Eléments lourds Autre &amp; Laine minérale &amp; Briques</t>
  </si>
  <si>
    <t>Eléments lourds Autre &amp; Autre isolant pétrochimique &amp; Bardage métallique</t>
  </si>
  <si>
    <t>Eléments lourds Autre &amp; Autre isolant végétal &amp; Bardage métallique</t>
  </si>
  <si>
    <t>Eléments lourds Autre &amp; Laine minérale &amp; Bardage métallique</t>
  </si>
  <si>
    <t>Eléments lourds Béton &amp; Autre isolant pétrochimique  &amp; Bardage bois</t>
  </si>
  <si>
    <t>Eléments lourds Béton &amp; Autre isolant végétal &amp; Bardage bois</t>
  </si>
  <si>
    <t>Eléments lourds Béton &amp; Laine minérale &amp; Bardage bois</t>
  </si>
  <si>
    <t>Eléments lourds Béton &amp; Autre isolant pétrochimique &amp; Enduit</t>
  </si>
  <si>
    <t>Eléments lourds Béton &amp; Autre isolant végétal &amp; Enduit</t>
  </si>
  <si>
    <t>Eléments lourds Béton &amp; Laine minérale &amp; Enduit</t>
  </si>
  <si>
    <t>Eléments lourds Béton &amp; Autre isolant pétrochimique &amp; Briques</t>
  </si>
  <si>
    <t>Eléments lourds Béton &amp; Autre isolant végétal &amp; Briques</t>
  </si>
  <si>
    <t>Eléments lourds Béton &amp; Laine minérale &amp; Briques</t>
  </si>
  <si>
    <t>Eléments lourds Béton &amp; Autre isolant pétrochimique &amp; Bardage métallique</t>
  </si>
  <si>
    <t>Eléments lourds Béton &amp; Autre isolant végétal &amp; Bardage métallique</t>
  </si>
  <si>
    <t>Eléments lourds Béton &amp; Laine minérale &amp; Bardage métallique</t>
  </si>
  <si>
    <t>Panneau sandwich Bois/Autre isolant pétrochimique/Bois</t>
  </si>
  <si>
    <t>Panneau sandwich Bois/Autre isolant végétal/Bois</t>
  </si>
  <si>
    <t>Panneau sandwich Acier/Autre isolant végétal/Acier</t>
  </si>
  <si>
    <t>Panneau sandwich Acier/Autre isolant pétrochimique/Acier</t>
  </si>
  <si>
    <t>Panneau sandwich Béton/Autre isolant végétal/Béton</t>
  </si>
  <si>
    <t>Panneau sandwich Béton/Autre isolant pétrochimique/Béton</t>
  </si>
  <si>
    <t>Panneau sandwich Béton/Autre isolant minéral/Béton</t>
  </si>
  <si>
    <t>Caisson Bois &amp; Cellulose &amp; Bardage bois</t>
  </si>
  <si>
    <t xml:space="preserve"> </t>
  </si>
  <si>
    <t>Caisson Bois &amp; Autre isolant végétal &amp; Bardage bois</t>
  </si>
  <si>
    <t>Caisson Bois &amp; Autre isolant végétal &amp; Enduit</t>
  </si>
  <si>
    <t>Caisson Bois &amp; Cellulose &amp; Enduit</t>
  </si>
  <si>
    <t>Caisson Bois &amp; Autre isolant végétal &amp; Briques</t>
  </si>
  <si>
    <t>Caisson Bois &amp; Cellulose &amp; Briques</t>
  </si>
  <si>
    <t>Caisson Bois &amp; Autre isolant végétal &amp; Bardage métallique</t>
  </si>
  <si>
    <t>Caisson Bois &amp; Cellulose &amp; Bardage métallique</t>
  </si>
  <si>
    <t>Caisson Bois &amp; Autre isolant pétrochimique &amp; Bardage bois</t>
  </si>
  <si>
    <t>Caisson Bois &amp; Laine minérale &amp; Bardage bois</t>
  </si>
  <si>
    <t>Caisson bois &amp; Autre isolant pétrochimique &amp; Enduit</t>
  </si>
  <si>
    <t>Caisson bois &amp; Laine minérale &amp; Enduit</t>
  </si>
  <si>
    <t>Caisson Bois &amp; Autre isolant pétrochimique &amp; Briques</t>
  </si>
  <si>
    <t>Caisson Bois &amp; Laine minérale &amp; Briques</t>
  </si>
  <si>
    <t>Caisson bois &amp; Autre isolant pétrochimique &amp; Bardage métallique</t>
  </si>
  <si>
    <t>Caisson bois &amp; Laine minérale &amp; Bardage métallique</t>
  </si>
  <si>
    <t>Caisson acier &amp; Autre isolant végétal &amp; Bardage bois</t>
  </si>
  <si>
    <t>Caisson acier &amp; Autre isolant végétal &amp; Enduit</t>
  </si>
  <si>
    <t>Caisson acier &amp; Autre isolant végétal &amp; Briques</t>
  </si>
  <si>
    <t>Caisson acier &amp; Autre isolant végétal &amp; Bardage métallique</t>
  </si>
  <si>
    <t>Caisson acier &amp; Autre isolant pétrochimique &amp; Bardage bois</t>
  </si>
  <si>
    <t>Caisson acier &amp; Laine minérale &amp; Bardage bois</t>
  </si>
  <si>
    <t>Caisson acier &amp; Autre isolant pétrochimique &amp; Enduit</t>
  </si>
  <si>
    <t>Caisson acier &amp; Laine minérale &amp; Enduit</t>
  </si>
  <si>
    <t>Caisson acier &amp; Autre isolant pétrochimique &amp; Briques</t>
  </si>
  <si>
    <t>Caisson acier &amp; Laine minérale &amp; Briques</t>
  </si>
  <si>
    <t>Caisson acier &amp; Autre isolant pétrochimique &amp; Bardage métallique</t>
  </si>
  <si>
    <t>Caisson acier &amp; Laine minérale &amp; Bardage métallique</t>
  </si>
  <si>
    <t>MOY</t>
  </si>
  <si>
    <t>Complexes de parois</t>
  </si>
  <si>
    <t>B.2.2</t>
  </si>
  <si>
    <t>NACEBEL 2008</t>
  </si>
  <si>
    <t>tonnes</t>
  </si>
  <si>
    <t>ETP</t>
  </si>
  <si>
    <t>l/sec.</t>
  </si>
  <si>
    <t>Algemene gegevens</t>
  </si>
  <si>
    <t>Jaar van de analyse</t>
  </si>
  <si>
    <t>Naam onderneming</t>
  </si>
  <si>
    <t>Plaats</t>
  </si>
  <si>
    <t>Postcode</t>
  </si>
  <si>
    <t>Adres</t>
  </si>
  <si>
    <t>aard van de activiteiten (NACE code)</t>
  </si>
  <si>
    <t>Eenheid van productie (ton, m², ..)</t>
  </si>
  <si>
    <t>Productievolume</t>
  </si>
  <si>
    <t>Personeel</t>
  </si>
  <si>
    <t>Omzet</t>
  </si>
  <si>
    <t>Totale perceeloppervlakte</t>
  </si>
  <si>
    <t>Grondoppervlakte gebouw</t>
  </si>
  <si>
    <t>Totale oppevlakte gebouw (incl verdiepingen)</t>
  </si>
  <si>
    <t>Oppervlakte parking en wegenis</t>
  </si>
  <si>
    <t>in mio €</t>
  </si>
  <si>
    <t>Voorafgaande vragen</t>
  </si>
  <si>
    <t>Datum voorgaande evaluatie</t>
  </si>
  <si>
    <t>Datum huidige evaluatie</t>
  </si>
  <si>
    <t>Totale oppervlakte van de gebouwen</t>
  </si>
  <si>
    <t>Oppervlakte parkings en wegenis</t>
  </si>
  <si>
    <t>Saldo oppervlakte (automatische berekening)</t>
  </si>
  <si>
    <t>Indicator</t>
  </si>
  <si>
    <t>nr</t>
  </si>
  <si>
    <t>naam</t>
  </si>
  <si>
    <t>parameters</t>
  </si>
  <si>
    <t>Criteria</t>
  </si>
  <si>
    <t>Antwoorden</t>
  </si>
  <si>
    <t>A. BEPERKINGEN EN AANBEVELINGEN VOOR AANPLANTINGEN EN INRICHTING VAN DE SITE</t>
  </si>
  <si>
    <t>Aan- of afwezigheid op de site of in de omgeving</t>
  </si>
  <si>
    <t>Natuurgebied</t>
  </si>
  <si>
    <t>Vochtig gebied met biologische waarde</t>
  </si>
  <si>
    <t>Beschermde zones</t>
  </si>
  <si>
    <t>Erkende zones</t>
  </si>
  <si>
    <t>Site met groot ecologisch belang</t>
  </si>
  <si>
    <t xml:space="preserve">B. INRICHTING VAN HET PERCEEL </t>
  </si>
  <si>
    <t>Bomen</t>
  </si>
  <si>
    <t>Vrije hagen (lopende m)</t>
  </si>
  <si>
    <t>Hoge hagen (lopende m)</t>
  </si>
  <si>
    <t>Bomenrij excl knotwilgen (lopende m)</t>
  </si>
  <si>
    <t>Geïsoleerde bomen en struiken (aantal)</t>
  </si>
  <si>
    <t>Oppervlakte bloemperken</t>
  </si>
  <si>
    <t>Bloemperken</t>
  </si>
  <si>
    <t>Vochtige zones</t>
  </si>
  <si>
    <t>Stilstaand water met natuurlijke bedding (m²)</t>
  </si>
  <si>
    <t>Stilstaand water met betonnen bedding (m²)</t>
  </si>
  <si>
    <t>Stromend water (m²)</t>
  </si>
  <si>
    <t>Tijdelijk onder water staande zones (m²)</t>
  </si>
  <si>
    <t>Andere groene zones</t>
  </si>
  <si>
    <t>Gazon (m²)</t>
  </si>
  <si>
    <t>Grasdalparking (m²)</t>
  </si>
  <si>
    <t>Kleinere biotopen</t>
  </si>
  <si>
    <t>Lineaire kleine biotopen (begroeide muren) ((lopende m)</t>
  </si>
  <si>
    <t>Afzonderlijke kleine biotopen (composthomen, , ..) (aantal)</t>
  </si>
  <si>
    <t>Indicatorwaarde 3: biotopen</t>
  </si>
  <si>
    <t>Indicatorwaarde 2 erkende zones</t>
  </si>
  <si>
    <t>Indicatorwaarde 1 beschermde zones)</t>
  </si>
  <si>
    <t>Biotopen</t>
  </si>
  <si>
    <t>Ecologisch beheer en onderhoud</t>
  </si>
  <si>
    <t>Beheer per maaibeurt</t>
  </si>
  <si>
    <t xml:space="preserve">Beheer onkruidbestrijding </t>
  </si>
  <si>
    <t>Aan-of afwezigheid van gazon op de site</t>
  </si>
  <si>
    <t>Verhouding regelmatige maaibeurten</t>
  </si>
  <si>
    <t>Verhouding beperkt aantal maaibeurten</t>
  </si>
  <si>
    <t>verhouding "soepel beheer"</t>
  </si>
  <si>
    <t xml:space="preserve">Verhouding chemisch onderhoud </t>
  </si>
  <si>
    <t>Verhouding niet chemisch onderhoud</t>
  </si>
  <si>
    <t>Indicatorniveau 4 ecologisch beheer en onderhoud</t>
  </si>
  <si>
    <t>Aan- of afwezigheid exotische woekerplanten</t>
  </si>
  <si>
    <t>Exotische woekerplanten</t>
  </si>
  <si>
    <t>Aan- of afwezigheid van een fysieke barrière,  bepaald daar een gekwalificeerd persoon</t>
  </si>
  <si>
    <t>Er is een beheersplan om de effecten ervan te milderen</t>
  </si>
  <si>
    <t>Schadelijke omgevings-elementen</t>
  </si>
  <si>
    <t>Groendaken</t>
  </si>
  <si>
    <t>Groene wanden</t>
  </si>
  <si>
    <t>Waterdoorlatende parkings</t>
  </si>
  <si>
    <t>Natuurlijk opvangbekken</t>
  </si>
  <si>
    <t>Infiltratievoorzieningen</t>
  </si>
  <si>
    <t>Ecologische inrichting</t>
  </si>
  <si>
    <t>Ecologische elementen</t>
  </si>
  <si>
    <t>Indicatorniveau 6: Ecologische inrichting</t>
  </si>
  <si>
    <t>Verplichte beperking ten gevolge van indicatorresultaat 5</t>
  </si>
  <si>
    <t>C. SAMENWERKING EN SENSIBILISATIE</t>
  </si>
  <si>
    <t>Sensibilisatieinstrumenten en opgezette partnerships</t>
  </si>
  <si>
    <t>Sensibilisatie- en samenwerkingsacties ten behoeve van de biodiversiteit en het milieu</t>
  </si>
  <si>
    <t>Sensibilisatie-) en vormingsinstrumenten</t>
  </si>
  <si>
    <t>Bestekken voor groeonderhoud</t>
  </si>
  <si>
    <t>Partnerships</t>
  </si>
  <si>
    <t>Aanwezigheid van een verantwoordelijke voor het groenbeheer</t>
  </si>
  <si>
    <t>Indicatorniveau 7: sensibilisatie en samenwerking</t>
  </si>
  <si>
    <t>Globaal indicatorniveau</t>
  </si>
  <si>
    <t>Minimaal ambitieniveau</t>
  </si>
  <si>
    <t>Aanwezig</t>
  </si>
  <si>
    <t>Afwezig</t>
  </si>
  <si>
    <t>Aanwezig op minder dan 100 m van de site</t>
  </si>
  <si>
    <t>Aanwezig op de site</t>
  </si>
  <si>
    <t>Totale oppervlakte van het perceel in private eigendom (m²)</t>
  </si>
  <si>
    <t>Totale oppervlakte van de private kavels op het terrein  (m²)</t>
  </si>
  <si>
    <t>Totale oppervlakte van het bedrijventerrein (m²)</t>
  </si>
  <si>
    <t>Gegevens ontbreken</t>
  </si>
  <si>
    <t>Geen beheer van dit type</t>
  </si>
  <si>
    <t>Tussen 1 en 25% van de groene zones</t>
  </si>
  <si>
    <t>Meer dan 75% van de groene zones</t>
  </si>
  <si>
    <t>Tussen 51 en 75% van de groene zones</t>
  </si>
  <si>
    <t>Tussen 26 en 50% van de groene zones</t>
  </si>
  <si>
    <t>Tussen 1 en 25% van de boorden</t>
  </si>
  <si>
    <t>Tussen 26 en 50% van de boorden</t>
  </si>
  <si>
    <t>Tussen 51 en 75% van de boorden</t>
  </si>
  <si>
    <t>Meer dan 75% van de boorden</t>
  </si>
  <si>
    <t>ja</t>
  </si>
  <si>
    <t>neen</t>
  </si>
  <si>
    <t>Geen inventaris</t>
  </si>
  <si>
    <t>2 acties</t>
  </si>
  <si>
    <t>3 acties</t>
  </si>
  <si>
    <t>Geen actie</t>
  </si>
  <si>
    <t>Aan- of afwezigheid van boorden</t>
  </si>
  <si>
    <t>1 actie</t>
  </si>
  <si>
    <t>Grondopp gelijkvloers:</t>
  </si>
  <si>
    <t>Oppervlakte ondergronds:</t>
  </si>
  <si>
    <t>Oppervlakte verd. 1:</t>
  </si>
  <si>
    <t>Oppervlakte verd. 2:</t>
  </si>
  <si>
    <t>Oppervlakte verd. 3:</t>
  </si>
  <si>
    <t>Dakoppervlakte:</t>
  </si>
  <si>
    <t>Oppervlakte plafonds:</t>
  </si>
  <si>
    <t>Buitenoppervlakte excl bestrating, incl inhammen</t>
  </si>
  <si>
    <t>Buitenoppervlakte incl bestrating, excl inhammen</t>
  </si>
  <si>
    <t>totaal oppervlakte binnenmuren incl inhammen</t>
  </si>
  <si>
    <t>totaal oppervlakte exploitatie ruimtes</t>
  </si>
  <si>
    <t xml:space="preserve">Binnenoppervlakte incl inkom excl inhammen </t>
  </si>
  <si>
    <t>Oppervlakte buitemuren, incl. Inhammen</t>
  </si>
  <si>
    <t>Oppervlakte inhammen</t>
  </si>
  <si>
    <t>Oppervlakte dragende muren</t>
  </si>
  <si>
    <t>Administratieve gegevens</t>
  </si>
  <si>
    <t>Fysische karakteristieken</t>
  </si>
  <si>
    <t>Pertinentie</t>
  </si>
  <si>
    <t>Nieuw</t>
  </si>
  <si>
    <t>Bestaand</t>
  </si>
  <si>
    <t>Thematiek</t>
  </si>
  <si>
    <t>Levenscyclus van het gebouw</t>
  </si>
  <si>
    <t>Bouwtechnische principes en evolutie</t>
  </si>
  <si>
    <t>Onderwerp</t>
  </si>
  <si>
    <t>onderwerp</t>
  </si>
  <si>
    <t>Vragenlijst base Niv 01</t>
  </si>
  <si>
    <t>Vragenlijst fourchette de pourcentage</t>
  </si>
  <si>
    <t>Vragenlijst fourchette de pourcentage pour B.1.5</t>
  </si>
  <si>
    <t>Vragenlijst PAROIS</t>
  </si>
  <si>
    <t>Vragenlijst</t>
  </si>
  <si>
    <t>Vragenlijst à destination des développeurs / gestionnaires / architectes / responsables d'entreprise…</t>
  </si>
  <si>
    <t>Algemene vraag et identification des TARGETS liés</t>
  </si>
  <si>
    <t>Algemene vraag</t>
  </si>
  <si>
    <t>Zijn de ruwbouwwerken grotendeels uitgevoerd in prefab materialen, zodat constructieve principes, transport, uitvoeringssnelheid  en afvalbehandeling geoptimaliseerd kunnen worden?</t>
  </si>
  <si>
    <t>Bestaat de draagstructuur uit prefab elementen?</t>
  </si>
  <si>
    <t>Bestaat de vloer op gelijkvloers uit prefab elementen? Ratio in m²?</t>
  </si>
  <si>
    <t>Les toitures sont partiellement constituées d'éléments pierreux (ex: tuiles / ardoises…)?  Ratio in m²?</t>
  </si>
  <si>
    <t>&gt; 10 %  prefabelementen</t>
  </si>
  <si>
    <t>'&gt; 30 %  prefabelementen</t>
  </si>
  <si>
    <t>&gt; 60 %  prefabelementen</t>
  </si>
  <si>
    <t>&gt; 90 %  prefabelementen</t>
  </si>
  <si>
    <t>Bestaat het gebouw uit prefab buitenmuren? Ratio in m²?</t>
  </si>
  <si>
    <t>ja&gt;25%</t>
  </si>
  <si>
    <t>ja&gt;50%</t>
  </si>
  <si>
    <t>ja&gt;75%</t>
  </si>
  <si>
    <t>ja 50 %</t>
  </si>
  <si>
    <t>ja 100%</t>
  </si>
  <si>
    <t>ja 50%</t>
  </si>
  <si>
    <t>Bestaat het dak uit prefab elementen?</t>
  </si>
  <si>
    <t>Wat  is de totale oppervlakte van de bouwschil? Ratio in m²?</t>
  </si>
  <si>
    <t>Aanpasbaarheid, flexibiliteit</t>
  </si>
  <si>
    <t>Laten de binneninrichting (wanden, plafonds, vloeren) en de technische installaties toe om ruimtes aan te passen aan eventuele nieuwe behoeften? Is een vertikale of horizontale uitbreiding mogelijk?</t>
  </si>
  <si>
    <t>Prefab ruwbouw</t>
  </si>
  <si>
    <t>&gt;10%  is aanpasbaar</t>
  </si>
  <si>
    <t>&gt; 30% is aanpasbaar en de buitenschil laat uitbreiding toe</t>
  </si>
  <si>
    <t>&gt; 60% is aanpasbaar, de buitenschil laat uitbreiding toe en de technieken kunnen aangepast worden aan veranderende behoeftes.</t>
  </si>
  <si>
    <t>&gt; 90% is aanpasbaar, de buitenschil laat uitbreiding toe en de technieken kunnen aangepast worden aan veranderende behoeftes</t>
  </si>
  <si>
    <t>Zijn de tussenmuren verplaatsbaar of aanpasbaar?</t>
  </si>
  <si>
    <t>Zijn de plafonds verplaatsbaar?</t>
  </si>
  <si>
    <t>Bestaat de vloerbedekking uit verplaatsbare elementen of gemakkelijk te verwijderen?</t>
  </si>
  <si>
    <t xml:space="preserve">Is het technische concept voorzien op  veranderingen in bezetting? </t>
  </si>
  <si>
    <t>Onderhoud en afbraak</t>
  </si>
  <si>
    <t>GEGEVENS, TE BEZORGEN DOOR HET BEDRIJF</t>
  </si>
  <si>
    <t>Verplaatsingswijze voor ALLE medewerkers</t>
  </si>
  <si>
    <t>Gemiddelde afstand (enkel) (km)</t>
  </si>
  <si>
    <t>Werkregime</t>
  </si>
  <si>
    <t>Jaarlijkse afstand (totaal km)</t>
  </si>
  <si>
    <t>Jaarlijks terugbetaalde kost (€)</t>
  </si>
  <si>
    <t>Jaarlijkse totaalkost (€)</t>
  </si>
  <si>
    <t>Medewerker (ster) 1</t>
  </si>
  <si>
    <t>Dieselwagen</t>
  </si>
  <si>
    <t>Indien nodig, rijen toevoegen via copy/paste om de formules te behouden</t>
  </si>
  <si>
    <t>Indien een medewerker meerdere modi gebruikt, een lijn creëren per modus.</t>
  </si>
  <si>
    <t>Beroepsgebonden verplaatsingen (incl bedrijfswagens)</t>
  </si>
  <si>
    <t>Woon-werkverkeer (excl. bedrijfswagens)</t>
  </si>
  <si>
    <t>id</t>
  </si>
  <si>
    <t xml:space="preserve">id </t>
  </si>
  <si>
    <t>wijze van verplaatsen</t>
  </si>
  <si>
    <t>of jaarlijks totaal verbruik</t>
  </si>
  <si>
    <t>Betaald (facturen &amp; kostennota's)</t>
  </si>
  <si>
    <t>Totaal km (berekend)</t>
  </si>
  <si>
    <t xml:space="preserve">Indien nodig, rijen toevoegen via copy/paste om de formules te behouden
</t>
  </si>
  <si>
    <t>SYNTHESE EN GRAFIEKEN</t>
  </si>
  <si>
    <t>Synthese</t>
  </si>
  <si>
    <t>Verplaatsingswijze</t>
  </si>
  <si>
    <t>totaal km</t>
  </si>
  <si>
    <t>totaal verbruik (l)</t>
  </si>
  <si>
    <t>totaal kosten</t>
  </si>
  <si>
    <t>Benzinewagen</t>
  </si>
  <si>
    <t>wagen LPG</t>
  </si>
  <si>
    <t>samen rijden</t>
  </si>
  <si>
    <t>Moto</t>
  </si>
  <si>
    <t>Trein</t>
  </si>
  <si>
    <t>Fiets</t>
  </si>
  <si>
    <t>Vliegtuig korte afstand (&lt; 1000 km)</t>
  </si>
  <si>
    <t>Vliegtuig lange afstand (&gt; 1000 km)</t>
  </si>
  <si>
    <t>Acties van de onderneming betreffende mobiliteit</t>
  </si>
  <si>
    <t>kies ja voor ondernomen acties</t>
  </si>
  <si>
    <t>Carpooling</t>
  </si>
  <si>
    <t>Brommers</t>
  </si>
  <si>
    <t>Onderhandelde herlocalisatie van het personeel</t>
  </si>
  <si>
    <t>Verhuis van de onderneming of de medewerkers</t>
  </si>
  <si>
    <t>Informatie, sensibilisatie</t>
  </si>
  <si>
    <t>Infrastructuur</t>
  </si>
  <si>
    <t>Partnerships: overheden, openbare vervoersmaatschappijen,..</t>
  </si>
  <si>
    <t>Voetgangers</t>
  </si>
  <si>
    <t>Rationalisatie van beroepsgebonden verplaatsingen</t>
  </si>
  <si>
    <t>Aanwervingen</t>
  </si>
  <si>
    <t>Telewerk</t>
  </si>
  <si>
    <t>Collectief transport, georganiseerd door de werkgever (ctw)</t>
  </si>
  <si>
    <t>Openbaar vervoer</t>
  </si>
  <si>
    <t>Bedrijfswagen</t>
  </si>
  <si>
    <t>Privéwagen</t>
  </si>
  <si>
    <t>Gedeelde voertuigen</t>
  </si>
  <si>
    <t>Aanwezigheid van een coördinator mobiliteit in het bedrijf of op het terrein</t>
  </si>
  <si>
    <t>Acties van een coördinator mobiliteit van het terrein in samenwerking met de coördinatoren in de bedrijven</t>
  </si>
  <si>
    <t>Analyse  van het woon-werkverkeer</t>
  </si>
  <si>
    <t xml:space="preserve">Oprichting van een bedrijf mobiliteitsplan </t>
  </si>
  <si>
    <t>Coördineren van gezamenlijke acties in een aantal / alle bedrijven in het park</t>
  </si>
  <si>
    <t>Het bestaan ​​van deze functie geeft u de tijd om verder te werken aan een breder scala van maatregelen</t>
  </si>
  <si>
    <t>Acties, die  score verbeteren</t>
  </si>
  <si>
    <t>(zie tab 5-mobiliteit B)</t>
  </si>
  <si>
    <t>Thema's</t>
  </si>
  <si>
    <t>aantal acties</t>
  </si>
  <si>
    <t>% toegepast</t>
  </si>
  <si>
    <t>Onderhoud en herstellingen van bouwschil en technieken</t>
  </si>
  <si>
    <t>De bouwschil is voornamelijk opgebouwd uit elementen met hoge levensduur, die weinig of geen onderhoud vergen en waarbij op een eenvoudige manier ingrepen mogelijk zijn. Op die manier wordt afval en gebruik van onderhoudsproducten op beduidende wijze beperkt.</t>
  </si>
  <si>
    <t>&gt; 30% van de oppervlakte van de bouwschil heeft een verwachte levensduur &gt;40 jaar  en &gt;15% behoeft geen tussentijds onderhoud.</t>
  </si>
  <si>
    <t>&gt; 45% van de oppervlakte van de bouwschil heeft een verwachte levensduur &gt;40 jaar  en &gt;30% behoeft geen tussentijds onderhoud.</t>
  </si>
  <si>
    <t>&gt; 75% van de oppervlakte van de bouwschil heeft een verwachte levensduur &gt;40 jaar  en &gt;60% behoeft geen tussentijds onderhoud. en bovendien zijn de technische installatie gemakkelijk bereikbaar</t>
  </si>
  <si>
    <t>&gt; 90% van de oppervlakte van de bouwschil heeft een verwachte levensduur &gt;40 jaar  en &gt;75% behoeft geen tussentijds onderhoud. en bovendien zijn de technische installatie gemakkelijk bereikbaar</t>
  </si>
  <si>
    <t>scd-werk</t>
  </si>
  <si>
    <t>ruwbouw/bouwschil</t>
  </si>
  <si>
    <t>technieken.</t>
  </si>
  <si>
    <t>Bestaan de gevels uit steenachtige materialen? Ratio in m²</t>
  </si>
  <si>
    <t>Bestaan de gevels uit massief hout materialen? Ratio in m²</t>
  </si>
  <si>
    <t>Bestaan de gevels uit metalen? Ratio in m²</t>
  </si>
  <si>
    <t>Bestaan de gevels uit composieten? Ratio in m²</t>
  </si>
  <si>
    <t>Bestaan de gevels uit een crepi? Ratio in m²</t>
  </si>
  <si>
    <t>Is er geheel of gedeeltelijk een groendak? Ratio in m²</t>
  </si>
  <si>
    <t>Bestaat de dakbedekking uit een waterdicht membraan (bitumen, epdm, PVC)? Ratio in m²</t>
  </si>
  <si>
    <t>Bestaat de dakbedekking geheel of gedeeltelijk uit een steenachtig materiaal? Ratio in m²?</t>
  </si>
  <si>
    <t>Bestaat de dakbedekking geheel of gedeeltelijk uit metaal? Ratio in m²?</t>
  </si>
  <si>
    <t>Bestaat het buitenschrijnwerk geheel of gedeeltelijk uit PVC of aluminium? Ratio in m²?</t>
  </si>
  <si>
    <t>Bestaat het buitenschrijnwerk geheel of gedeeltelijk uit hout? Ratio in m²?</t>
  </si>
  <si>
    <t>Zijn de technische installaties en de bedradingen goed toegankelijk?</t>
  </si>
  <si>
    <t xml:space="preserve">Wat  is de totale oppervlakte van de bouwschil? </t>
  </si>
  <si>
    <t>Afbraak van ruwbouw en afwerking</t>
  </si>
  <si>
    <t xml:space="preserve">De ruwbouw (draagstructuur, schrijnwerk, daken, ..) en de belangrijkste afwerekingselementen binnenmuren, binnenschrijnwerk) bestaan in hoofdzaak uit dementeerbare en gemakkelijk scheidbare elementen met het oog op hergebruik of recyclage. </t>
  </si>
  <si>
    <t>&gt; 10% van de ruwbouwoppervlakte is demontabel en scheidbaar alsook &gt;25 van de binnenafwerking</t>
  </si>
  <si>
    <t>&gt; 30% van de ruwbouwoppervlakte is demontabel en scheidbaar alsook &gt;50% van de binnenafwerking</t>
  </si>
  <si>
    <t>De volledige draagstructuur alsook &gt; 60% van de ruwbouwoppervlakte is demontabel en scheidbaar alsook &gt;75% van de binnenafwerking</t>
  </si>
  <si>
    <t>De volledige draagstructuur alsook &gt; 90% van de ruwbouwoppervlakte is demontabel en scheidbaar alsook &gt;75% van de binnenafwerking</t>
  </si>
  <si>
    <t>Zijn de elementen van de draagstructuur demontabel en onderling scheidbaar?</t>
  </si>
  <si>
    <t>Zijn de elementen van de grondvloer demontabel en onderling scheidbaar?</t>
  </si>
  <si>
    <t>Zijn de elementen van de tussenvloeren demontabel en onderling scheidbaar?</t>
  </si>
  <si>
    <t>Zijn de gevelelementen  demontabel en onderling scheidbaar?</t>
  </si>
  <si>
    <t>Zijn de elementen van de dakstructuur demontabel en onderling scheidbaar?</t>
  </si>
  <si>
    <t>Zijn de elementen van de binnenwanden demontabel en onderling scheidbaar?</t>
  </si>
  <si>
    <t>Zijn de elementen van het buitenschrijnwerk demontabel en onderling scheidbaar?</t>
  </si>
  <si>
    <t>Wat is de totale oppervlakte van de ruwbouwstructuur?</t>
  </si>
  <si>
    <t>Materialenkringloop</t>
  </si>
  <si>
    <t>Beperking van de uitputing van grondstoffen</t>
  </si>
  <si>
    <t>Oorsprong van de bouwmaterialen</t>
  </si>
  <si>
    <t>De ruwbouw bestaat hoofdzakelijk uit lokaal of in de nabijheid gewonnen materialen zodat de impact van het transport minimaal is.</t>
  </si>
  <si>
    <t>&gt; 10% van de ruwbouwoppervlakte bestaat uit lokaal gewonnen materialen (EU)</t>
  </si>
  <si>
    <t>&gt; 30% van de ruwbouwoppervlakte bestaat uit lokaal gewonnen materialen (Eur) alsook &gt; 25% van de structuur</t>
  </si>
  <si>
    <t>&gt; 60% van de ruwbouwoppervlakte bestaat uit lokaal gewonnen materialen (Eur) alsook &gt; 50% van de structuur</t>
  </si>
  <si>
    <t>&gt; 80% van de ruwbouwoppervlakte bestaat uit lokaal gewonnen materialen (Eur) alsook &gt; 75% van de structuur en bovendien gaat het om veelgebruikte materialen in de regio</t>
  </si>
  <si>
    <t>De gevels bestaan geheel of gedeeltelijk uit materialen gewonnen uit lokale bronnen (afst &lt;250 km)</t>
  </si>
  <si>
    <t>Het buitenschrijnwerk bestaat geheel of gedeeltelijk uit materialen gewonnen uit lokale bronnen (afst &lt;250 km) (gelabeld hout/PVC/Aluminium)</t>
  </si>
  <si>
    <t>De dakelementen bestaan geheel of gedeeltelijk uit materialen gewonnen uit lokale bronnen (afst &lt;250 km)</t>
  </si>
  <si>
    <t>De draagstructuur bestaat geheel of gedeeltelijk uit materialen gewonnen uit lokale bronnen (afst &lt;250 km)</t>
  </si>
  <si>
    <t>Wat is de totale oppervlakte van de bouwschil?</t>
  </si>
  <si>
    <t>Uitputting van grondstoffen en typologie van de materialen</t>
  </si>
  <si>
    <t>Is er in de bouwschil en de ruwbouw een voorkeur voor materialen of primaire grondstoffen die hetzij hernieuwbaar zijn, hetzij in zeer grote hoeveelheden beschikbaar met ten einde uitputting van grondstoffen tegen te gaan en is er eenbeperkte transformatie nodig (energiebesparing)</t>
  </si>
  <si>
    <t xml:space="preserve">&gt;10% van de bouwschilbestaat uit natuurlijke materialen met beperkte transformatie of primaire grondstoffen die hetzij hernieuwbaar zijn, hetzij in zeer grote hoeveelheden beschikbaar </t>
  </si>
  <si>
    <t xml:space="preserve">&gt;25% van de bouwschilbestaat uit natuurlijke materialen met beperkte transformatie of primaire grondstoffen die hetzij hernieuwbaar zijn, hetzij in zeer grote hoeveelheden beschikbaar </t>
  </si>
  <si>
    <t>&gt;50% van de bouwschilbestaat uit natuurlijke materialen met beperkte transformatie of primaire grondstoffen die hetzij hernieuwbaar zijn, hetzij in zeer grote hoeveelheden beschikbaar</t>
  </si>
  <si>
    <t>&gt;90% van de bouwschilbestaat uit natuurlijke materialen met beperkte transformatie of primaire grondstoffen die hetzij hernieuwbaar zijn, hetzij in zeer grote hoeveelheden beschikbaar en alle hout heeft een duurzaamheidslabel (FSC, PEFC)</t>
  </si>
  <si>
    <t>De gevel bestaat geheel of gedeeltelijk uit ruim beschikbare steenachtige materialen  (ratio in m2)</t>
  </si>
  <si>
    <t>De gevel bestaat geheel of gedeeltelijk uit metaal / identificatie/typologie  (ratio in m2)</t>
  </si>
  <si>
    <t>De gevel bestaat geheel of gedeeltelijk uit composietmaterialen  (ratio in m2) (identificatie/typologie)</t>
  </si>
  <si>
    <t>Het dak bestaat geheel of gedeeltelijk uit een groendak (ratio in m2)(identificatie/typologie)</t>
  </si>
  <si>
    <r>
      <t>De dakbedekking bestaat geheel of gedeeltelijk uit een verharding (ratio in m2)(identificatie/typologie)</t>
    </r>
    <r>
      <rPr>
        <b/>
        <i/>
        <sz val="10"/>
        <rFont val="Calibri"/>
        <family val="2"/>
        <scheme val="minor"/>
      </rPr>
      <t xml:space="preserve"> </t>
    </r>
    <r>
      <rPr>
        <i/>
        <sz val="10"/>
        <rFont val="Calibri"/>
        <family val="2"/>
        <scheme val="minor"/>
      </rPr>
      <t xml:space="preserve">(vb steengruis) </t>
    </r>
  </si>
  <si>
    <t xml:space="preserve">De dakbedekking bestaat geheel of gedeeltelijk uit een steenachtig materiaal (ratio in m2)(identificatie/typologie) (vb leien) </t>
  </si>
  <si>
    <t xml:space="preserve">De dakbedekking bestaat geheel of gedeeltelijk uitmetaal(ratio in m2)(identificatie/typologie) </t>
  </si>
  <si>
    <t>Het buitenschrijnwerk  bestaat geheel of gedeeltelijk uit aluminium of PVC (ratio in m2)</t>
  </si>
  <si>
    <t>Het buitenschrijnwerk  bestaat geheel of gedeeltelijk uit hout (ratio in m2)</t>
  </si>
  <si>
    <t>Houtelementen in de ruwbouw hebben een FSC of PEFC label</t>
  </si>
  <si>
    <t>Rationeel materiaalgebruik</t>
  </si>
  <si>
    <t xml:space="preserve">Is het gebouw op een dusdanige manier ontworpen dat het gebruik van afwerkingsmaterialen (muurbekleding, valse plafonds,...) beperkt is ten voordele van een ruwere afwerking? </t>
  </si>
  <si>
    <t>&gt; 10% van de oppervlakte is ruw gelaten en bijna al de binnenmuren zijn verplaatsbaar</t>
  </si>
  <si>
    <t>&gt;30% van de oppervlakte is ruw gelaten en 25% van de ruimtes zijn aanpasbaar</t>
  </si>
  <si>
    <t>&gt;60% van de oppervlakte is ruw gelaten en 50% van de ruimtes zijn aanpasbaar</t>
  </si>
  <si>
    <t>&gt;90% van de oppervlakte is ruw gelaten en 75% van de ruimtes zijn aanpasbaar</t>
  </si>
  <si>
    <t>De wanden hebben geen afwerking (ratio in m²)</t>
  </si>
  <si>
    <t>De plafonds hebben geen afwerking (ratio in m²)</t>
  </si>
  <si>
    <t>De vloeren hebben geen afwerking (ratio in m²)</t>
  </si>
  <si>
    <t>De binnenruimtes zijn ontworpen als open en aanpasbare ruimtes (ratio vloeroppervlak in m²)</t>
  </si>
  <si>
    <t>Reductie van bouwafval en recyclage</t>
  </si>
  <si>
    <r>
      <t>De ruwbouw en draagstructuur zijn voornamelijk opgebouwd uit materialen die afkomstig zijn van hergebruik- of recyclage filiaires en zijn recycleerbaar via de huidige kanalen</t>
    </r>
    <r>
      <rPr>
        <i/>
        <sz val="10"/>
        <rFont val="Calibri"/>
        <family val="2"/>
        <scheme val="minor"/>
      </rPr>
      <t>.</t>
    </r>
  </si>
  <si>
    <t>&gt;25% van de oppervlakte van de ruwbouw (structuur, metselwerk, gevels, ...) en &gt;25%  van binnenafwerking (binnenwanden, vloeren) zijn volledig recycleerbaar</t>
  </si>
  <si>
    <t xml:space="preserve">De draagstructuur en &gt;50% van de oppervlakte van de ruwbouw (structuur, metselwerk, gevels, ...) en &gt;50%  van binnenafwerking (binnenwanden, vloeren) zijn volledig recycleerbaar </t>
  </si>
  <si>
    <t xml:space="preserve">De draagstructuur en &gt;75% van de oppervlakte van de ruwbouw (structuur, metselwerk, gevels, ...) en &gt;75%  van binnenafwerking (binnenwanden, vloeren) zijn volledig recycleerbaar en bij de productkeuze wordt voorkeur gegeven aan gerecycleerd materiaal </t>
  </si>
  <si>
    <t xml:space="preserve">De draagstructuur en &gt;90% van de oppervlakte van de ruwbouw (structuur, metselwerk, gevels, ...) en &gt;90%  van binnenafwerking (binnenwanden, vloeren) zijn volledig recycleerbaar en bij de productkeuze wordt voorkeur gegeven aan gerecycleerd materiaal en alles wordt in het werk gesteld </t>
  </si>
  <si>
    <t>Isolatiematerialen hebben een keurmerk</t>
  </si>
  <si>
    <t xml:space="preserve">Bij de materiaalkeuze voor ruwbouw en binnenmuren wordt prioriteit gegeven aan materialen waarbij secundaire grondstoffen gebruikt zijn. </t>
  </si>
  <si>
    <t>De ruwbouwstructuur bestaat voornamelijk uit steenachtig materiaal (beton, metselwerk) en van een dakstructuur uit hout of beton.</t>
  </si>
  <si>
    <t>de gevels zijn deels opgebouwd uit steenachtige materialen of houtproducten (ratio in m²)</t>
  </si>
  <si>
    <t xml:space="preserve">de gevels zijn deels opgebouwd uitmetaalelementen of houtproducten (ratio in m²) </t>
  </si>
  <si>
    <t>De daken zijn deels opgebouwd uit steenachtige materialen of houtproducten (ratio in m²)</t>
  </si>
  <si>
    <t xml:space="preserve">De gevels zijn deels opgebouwd uit composietmaterialen (sandwichpanelen) (ratio in m²) </t>
  </si>
  <si>
    <t>De daken zijn deels opgebouwd uit composietmaterialen (sandwichpanelen) (ratio in m²)</t>
  </si>
  <si>
    <t xml:space="preserve">De daken zijn deels opgebouwd uit membranen (roofing, epdm, ...) (ratio in m²) </t>
  </si>
  <si>
    <t xml:space="preserve">Er zijn maatregelen genomen om afval op de werf te beperken en om selectief de stromen te scheiden </t>
  </si>
  <si>
    <t>Welk is de totale oppervlakte van de bouwschil?(excl vloeren)</t>
  </si>
  <si>
    <t>De impact van de materialen op gezondheid en leefmilieu beperken</t>
  </si>
  <si>
    <t xml:space="preserve">Bij de keuze van materialen die in contact staan met de binnenruimte (verf, bekledingen, ..) zijn polluerende en schadelijke stoffen gemeden (organische solventen, PCB's, ...) </t>
  </si>
  <si>
    <t xml:space="preserve">&gt;25% van het meubilair en de binnenwanden en &gt;25%  van de afwerking is geen bron van polluenten of schadelijke stoffen </t>
  </si>
  <si>
    <t>&gt;50% van het meubilair en de binnenwanden en &gt;50%  van de afwerking is geen bron van polluenten of schadelijke stoffen en er is geen asbestcomposiet aanwezig</t>
  </si>
  <si>
    <t>&gt;75% van het meubilair en de binnenwanden en &gt;75%  van de afwerking is geen bron van polluenten of schadelijke stoffen en er is geen asbestcomposiet aanwezig</t>
  </si>
  <si>
    <t>&gt;75% van het meubilair en de binnenwanden en &gt;75%  van de afwerking is geen bron van polluenten of schadelijke stoffen en er is geen asbestcomposiet aanwezig en er is geen bron van radon</t>
  </si>
  <si>
    <t xml:space="preserve">Het meubilair bestaat uit hout of een derivaat ervan (MDF, multiplex, OSB,...) en/of gefineerd. </t>
  </si>
  <si>
    <t>De binnenwanden bestaan uit hout of een derivaat ervan (MDF, multiplex, OSB,...) en/of gefineerd. (ratio in m²)</t>
  </si>
  <si>
    <t>De muren zijn geschilderd met solventhoudende verf of bestaan geheel of gedeeltelijk uit houtderivaten MDF, multiplex, OSB) (ratio van de oppervlakte in m²)</t>
  </si>
  <si>
    <t>Het meubilair bestaat uit gelamineerd gelijmd hout. (ratio in m²)</t>
  </si>
  <si>
    <t>De vloerbekleding bestaat uit gelijmde elementen (ratio inm²)</t>
  </si>
  <si>
    <t>De plafonds  zijn geschilderd met solventhoudende verf of bestaan geheel of gedeeltelijk uit houtderivaten MDF, multiplex, OSB) (ratio van de oppervlakte in m²)</t>
  </si>
  <si>
    <t xml:space="preserve">De afwerkingsmaterialen behoeven weinig en gemakkelijk onderhoud met niet schadelijke producten </t>
  </si>
  <si>
    <t>Het gebouw bevat geen asbesthoudende elementen (vrij of in platen)</t>
  </si>
  <si>
    <t xml:space="preserve">Het gebouw staat niet bloot aan radon en binnen zijn maatregelen genomen om radon-concentratie zo laag mogelijk te houden (ventilatie, bekleding van wanden) </t>
  </si>
  <si>
    <t>Wat is de oppervlakte van binnenmuren, plafonds en vloeren?</t>
  </si>
  <si>
    <t>Impact op het milieu</t>
  </si>
  <si>
    <t xml:space="preserve">De ruwbouw en de bouwschil bevatten voornamelijk producten met weinig grijze energie, emissies van gassen die het broeikaseffect of verzuring veroorzaken. </t>
  </si>
  <si>
    <t xml:space="preserve">De draagstructuur en/of de gevels worden beschouwd als de minst goede keuze op vlak van milieu in termen van levenscyclusanalyse </t>
  </si>
  <si>
    <t xml:space="preserve">De draagstructuur en/of de gevels worden beschouwd als een aanvaardbare keuze op vlak van milieu in termen van levenscyclusanalyse </t>
  </si>
  <si>
    <t>De draagstructuur en/of de gevels worden beschouwd als een goede keuze op vlak van milieu in termen van levenscyclusanalyse</t>
  </si>
  <si>
    <t xml:space="preserve">De draagstructuur en/of de gevels worden beschouwd als debeste keuze op vlak van milieu in termen van levenscyclusanalyse </t>
  </si>
  <si>
    <t>De structuur van het gebouw bestaat voornamelijk uit balken en kolommen (staal, hout, beton..)</t>
  </si>
  <si>
    <t>De gevels bestaan uit zware elementen (beton, baksteen) of lichte elementen (metaal, hout) of sandwichpanelen</t>
  </si>
  <si>
    <t>De gevels bestaan uit beklede isolatiematerialen of sandwichpanelen?</t>
  </si>
  <si>
    <t>De gevels bestaan uit een bekleding (bardage, bakstenen, ..), verschillend van de voornaamste elementen van de gevel of uit sandwichpanelen?</t>
  </si>
  <si>
    <t>Administratieve karakteristieken van het gebouw</t>
  </si>
  <si>
    <t>Fysische eigenschappen van het terrein - perceel</t>
  </si>
  <si>
    <t>Inrichting van het perceel</t>
  </si>
  <si>
    <t>Met wagens berijdbare oppervlakte</t>
  </si>
  <si>
    <t>Oppervlakte van de privé parkings</t>
  </si>
  <si>
    <t>Totaal</t>
  </si>
  <si>
    <t>lengte</t>
  </si>
  <si>
    <t>breedte</t>
  </si>
  <si>
    <t>totaal berijdbare oppervlakte</t>
  </si>
  <si>
    <t>Oppervlakte van de zones voor langzaam  verkeer</t>
  </si>
  <si>
    <t xml:space="preserve">Oppervlakte van de buitenopslag </t>
  </si>
  <si>
    <t>Oppervlakte van circulatiezones (excl parking en buitenopslag)</t>
  </si>
  <si>
    <t>totaal</t>
  </si>
  <si>
    <t>Oppervlakte voetgangerszones</t>
  </si>
  <si>
    <t>Oppervlakte beplanting</t>
  </si>
  <si>
    <t>Braakliggende oppervlakte</t>
  </si>
  <si>
    <t>Totale niet bebouwde oppervlakte</t>
  </si>
  <si>
    <t>Omtrek van het perceel</t>
  </si>
  <si>
    <t>Totale oppervlakte wegen en circulatieruimte</t>
  </si>
  <si>
    <t>Perceelschaal</t>
  </si>
  <si>
    <t>Circulatieruimtes</t>
  </si>
  <si>
    <t>Ruimtes voor langzaam en snel verkeer</t>
  </si>
  <si>
    <t>Circulatieruimtes - impact op het milieu</t>
  </si>
  <si>
    <t>Er is voor circulatieruimtes (wegen en voetgangerspaden) gekozen voor materialen en technieken met een minimale impact op het leefmilieu (broeikasgassen, grijze energie, verzuring, ..) en met behoud van natuurlijke hulpbronnen (gebruik van recyclagematerialen). Daarenboven is de ontwikkeling van het circulatienetwerk rationeel (geen overbodige wegenissen, goede dimensionering) en de keuzes houden rekening met voorzien gebruik en belasting.</t>
  </si>
  <si>
    <t>&gt;50% van de circulatieruimtes hebben een geoptimaliseerde materiaalkeuze en &gt;50% van de materialen/technieken zijn gerationaliseerd en aangepast aan de belasting en &gt;50% van de oplossingen komen uit een recyclage-filiaire</t>
  </si>
  <si>
    <t>&gt;75% van de circulatieruimtes hebben een geoptimaliseerde materiaalkeuze en &gt;75% van de materialen/technieken zijn gerationaliseerd en aangepast aan de belasting en &gt;75% van de oplossingen komen uit een recyclage-filiaire</t>
  </si>
  <si>
    <t>&gt;25% van de circulatieruimtes hebben een geoptimaliseerde materiaalkeuze en &gt;25% van de materialen/technieken zijn gerationaliseerd en aangepast aan de belasting en &gt;25% van de oplossingen komen uit een recyclage-filiaire</t>
  </si>
  <si>
    <t>&gt;90% van de circulatieruimtes hebben een geoptimaliseerde materiaalkeuze en &gt;90% van de materialen/technieken zijn gerationaliseerd en aangepast aan de belasting en &gt;90% van de oplossingen komen uit een recyclage-filiaire en de gebruikte verven zijn ecologisch</t>
  </si>
  <si>
    <t>De wegenis voor wagens zijn geheel of gedeeltelijk gerealiseerd in gewapend beton (ratio in m²)</t>
  </si>
  <si>
    <t>De wegenis voor wagens zijn geheel of gedeeltelijk gerealiseerd in  tweelagig gewapend beton met gebruik van gerecycleerde granulaten (ratio in m²)</t>
  </si>
  <si>
    <t>De wegenis voor wagens zijn geheel of gedeeltelijk gerealiseerd inasfalt,  gegoten bij lage temperatuur  (ratio in m²)</t>
  </si>
  <si>
    <t xml:space="preserve">De wegmarkeringen zijn aangebracht met verven op basis van natuurlijke materialen </t>
  </si>
  <si>
    <t xml:space="preserve">De wegen voor tweewielers zijn geheel of gedeeltelijk gerealiseerd in gesteenta als dolomiet, gerecycleerd bouwpuin, ... (ratio in m²) </t>
  </si>
  <si>
    <t xml:space="preserve">De wegen voor tweewielers zijn geheel of gedeeltelijk gerealiseerd in grasdallen ... (ratio in m²) </t>
  </si>
  <si>
    <t xml:space="preserve">De wegen voor tweewielers zijn geheel of gedeeltelijk gerealiseerd in betontegels (ratio in m²) </t>
  </si>
  <si>
    <t xml:space="preserve">De wegen voor tweewielers zijn geheel of gedeeltelijk gerealiseerd in klinkers (ratio in m²) </t>
  </si>
  <si>
    <t xml:space="preserve">De wegen voor tweewielers zijn geheel of gedeeltelijk gerealiseerd in asfalt (ratio in m²) </t>
  </si>
  <si>
    <t xml:space="preserve">De wegen voor tweewielers zijn geheel of gedeeltelijk gerealiseerd in  gewapend beton (ratio in m²) </t>
  </si>
  <si>
    <t>De wegen voor tweewielers zijn geheel of gedeeltelijk gerealiseerd in een bekleding met natuurlijke of gerecycleerde aggregaten,warm gebonden met een natuurlijke binder (ratio in m²)</t>
  </si>
  <si>
    <t>De voetpaden zijn gerealiseerd in houtsnippers, bij voorkeur afkomstig van het beheer van de site (Ratio in m²)</t>
  </si>
  <si>
    <t>De voetpaden zijn gerealiseerd met een gesteente van het type dolomiet, gerecycleerd puin, .. (Ratio in m²)</t>
  </si>
  <si>
    <t>De voetpaden zijn gerealiseerd in grasdallen (Ratio in m²)</t>
  </si>
  <si>
    <t>De voetpaden zijn gerealiseerd in betontegels (Ratio in m²)</t>
  </si>
  <si>
    <t>De voetpaden zijn gerealiseerd in klinkers (Ratio in m²)</t>
  </si>
  <si>
    <t>De voetpaden zijn gerealiseerd in asfalt (Ratio in m²)</t>
  </si>
  <si>
    <t>De voetpaden zijn gerealiseerd in gewapend beton (Ratio in m²)</t>
  </si>
  <si>
    <t>De wegenis voor wagens zijn geheel of gedeeltelijk gerealiseerd in asfalt (ratio in m²)</t>
  </si>
  <si>
    <t>Ruimtes en inrichting ervan</t>
  </si>
  <si>
    <t>Rationalisatie en zonering</t>
  </si>
  <si>
    <t>De aanplantingen in volle grond en de beplanting in zijn geheel zijn gemaximaliseerd. Er is voor afbakening gekozen voor materialen en technieken met een minimale impact op het leefmilieu (broeikasgassen, grijze energie, verzuring, ..) en met behoud van natuurlijke hulpbronnen (gebruik van recyclagematerialen).</t>
  </si>
  <si>
    <t xml:space="preserve">&gt;25% van de perceeloppervlakte (buiten het gebouw) is beplant en voor &lt; 25% van de materialen is gekozen voor een milieuvriendelijke oplossing </t>
  </si>
  <si>
    <t xml:space="preserve">&gt;25% van de perceeloppervlakte (buiten het gebouw) is beplant en voor &gt;25% van de materialen is gekozen voor een milieuvriendelijke oplossing </t>
  </si>
  <si>
    <t xml:space="preserve">&gt;50% van de perceeloppervlakte (buiten het gebouw) is beplant en voor &gt;50% van de materialen is gekozen voor een milieuvriendelijke oplossing </t>
  </si>
  <si>
    <t xml:space="preserve">&gt;75% van de perceeloppervlakte (buiten het gebouw) is beplant en voor &gt;75% van de materialen is gekozen voor een milieuvriendelijke oplossing </t>
  </si>
  <si>
    <t>Het perceel is grotendeels bepalnt (ratio in m²)</t>
  </si>
  <si>
    <t xml:space="preserve">De afbakening van het terrein is geheel of gedeeltelijk gerealiseerd in inheemse planten (haag, struiken) </t>
  </si>
  <si>
    <t>De afbakening van het terrein is geheel of gedeeltelijk gerealiseerd in houten palen en geplastificeerde metalen roosters</t>
  </si>
  <si>
    <t>De afbakening van het terrein is geheel of gedeeltelijk gerealiseerd in gegalvaniseerd staal</t>
  </si>
  <si>
    <t>De afbakening van het terrein is geheel of gedeeltelijk gerealiseerd in gecertificeerd hout (FSC, PEFC)</t>
  </si>
  <si>
    <t>De afbakening van het terrein is geheel of gedeeltelijk gerealiseerd in niet gecertificeerd hout</t>
  </si>
  <si>
    <t>De afbakening van het terrein is geheel of gedeeltelijk gerealiseerd in schanskorven, gevuld met gesteente, niet afkomstig van de site</t>
  </si>
  <si>
    <t>De afbakening van het terrein is geheel of gedeeltelijk gerealiseerd in schanskorven, gevuld met gesteente, afkomstig van de site</t>
  </si>
  <si>
    <t>Wat is de omtrek van het perceel?</t>
  </si>
  <si>
    <t>Valorisatie van plaatselijke hulpmiddelen</t>
  </si>
  <si>
    <t>Exploitatie van het potentieel van de site</t>
  </si>
  <si>
    <t xml:space="preserve">&gt; 25% van de uitgegraven gronden op het bedrijventerrein zijn in situ herbruikt </t>
  </si>
  <si>
    <t>&gt; 25% van de uitgegraven gronden op het bedrijventerrein zijn in situ herbruikt  EN  het organisch afval is voor &gt;25% gevaloriseerd in situ</t>
  </si>
  <si>
    <t>&gt; 50% van de uitgegraven gronden op het bedrijventerrein zijn in situ herbruikt  EN  het organisch afval is voor &gt;50% gevaloriseerd in situ en de oude constructies zijn gevaloriseerd</t>
  </si>
  <si>
    <t>&gt; 75% van de uitgegraven gronden op het bedrijventerrein zijn in situ herbruikt  EN  het organisch afval is voor &gt;75% gevaloriseerd in situ' en bestaande constructies en minerale stoffen zijn gevaloriseerd</t>
  </si>
  <si>
    <t>De materialen, afkomstig van de site zijn bewaard en in situ gevaloriseerd om hulpbronnen te sparen en transport en stort  te vermijden. Daartoe zal men de niet vervuilde gronden in situ trachten te verwerken, plantaardige reststoffen valoriseren, bestaande constructies valoriseren en op de site aanwezige mineralen (bv gesteentes voor muurtjes of schanskorven) maximaal benutten.</t>
  </si>
  <si>
    <t xml:space="preserve">Het grondverzet op het bedrijventerrein en op het niveau van het perceel is beheerst en de niet vervuilde gronden zijn op het terrein herbruikt . </t>
  </si>
  <si>
    <t xml:space="preserve">Snoeihout is gerecupereerd en wordt gebruikt bv voor de inrichting van voetpaden of als mulch </t>
  </si>
  <si>
    <t>De oude constructies zijn in de mate van het mogelijke bewaard, het eventuele sloopafval is gerecupereerd op niveau van het perceel of het gehele terrein</t>
  </si>
  <si>
    <t>De gesteenten op het terrein zijn volledig of gedeeltelijk gebruikt op niveau van het perceel of de site</t>
  </si>
  <si>
    <t>Straatmeubilair</t>
  </si>
  <si>
    <t>Oorsprong en samenstelling</t>
  </si>
  <si>
    <t>Het straatmeubilair (banken, borden, afvalbakken, ...) is gemaakt uit milieuvriendelijk materiaal (gerecycleerd, recycleerbaar, beschikbaar in grote hoeveelheden hernieuwbaar)</t>
  </si>
  <si>
    <t>&gt; 15% van het straatmeubilair (banken, borden, afvalbakken, ...) is gemaakt uit milieuvriendelijk materiaal (gerecycleerd, recycleerbaar, beschikbaar in grote hoeveelheden hernieuwbaar)</t>
  </si>
  <si>
    <t xml:space="preserve">&gt; 30% van het straatmeubilair (banken, borden, afvalbakken, ...) is gemaakt uit milieuvriendelijk en plaatselijk gewonnen materiaal (gerecycleerd, recycleerbaar, beschikbaar in grote hoeveelheden hernieuwbaar) en 25% behoeft geen bescherming (schilderen) </t>
  </si>
  <si>
    <t>&gt; 45% van het straatmeubilair (banken, borden, afvalbakken, ...) is gemaakt uit milieuvriendelijk en plaatselijk gewonnen materiaal (gerecycleerd, recycleerbaar, beschikbaar in grote hoeveelheden hernieuwbaar) en 50% behoeft geen bescherming (schilderen) of onderhoud</t>
  </si>
  <si>
    <t>&gt; 45% van het straatmeubilair (banken, borden, afvalbakken, ...) is gemaakt uit milieuvriendelijk en plaatselijk gewonnen materiaal (gerecycleerd, recycleerbaar, beschikbaar in grote hoeveelheden hernieuwbaar) en 50% behoeft geen bescherming (schilderen) of onderhoud en het hout is gecertificeerd (FSC, PEFC)</t>
  </si>
  <si>
    <t>Het straatmeubilair is geheel of gedeeltelijk gemaakt in materialen afkomstig uit de omgeving (&lt;250 km) (ratio in aantal elementen)</t>
  </si>
  <si>
    <t>Het straatmeubilair is geheel of gedeeltelijk gemaakt in materialen die hernieuwbaar zijn of in zeer grote hoeveelheden beschikbaar (ratio in aantal elementen)</t>
  </si>
  <si>
    <t>Het straatmeubilair is geheel of gedeeltelijk gemaakt in  gerecycleerde materialen (ratio in aantal elementen en in % gerecycleerde grondstof)</t>
  </si>
  <si>
    <t>Het straatmeubilair is niet behandeld om alzo recyclage te vergemakkeloijken (ratio in aantal elementen)</t>
  </si>
  <si>
    <t>Het straatmeubilair behoeft geen onderhoud of onderhoud met niet schadelijke stoffen (ratio in aantal elementen)</t>
  </si>
  <si>
    <t>De houten elementen zijn FSC of PEFC gelabeld</t>
  </si>
  <si>
    <t>Administratieve kenmerken</t>
  </si>
  <si>
    <t>fysieke kenmerken van het perceel</t>
  </si>
  <si>
    <t>wegenis</t>
  </si>
  <si>
    <t>totaal oppervlakte</t>
  </si>
  <si>
    <t>oppervlakte circulatie zachte weggebruikers</t>
  </si>
  <si>
    <t>Oppervlakte voetpaden</t>
  </si>
  <si>
    <t>oppervlakte collectieve parkings</t>
  </si>
  <si>
    <t>oppervlakte laden, lossen en tussenopslag</t>
  </si>
  <si>
    <t>beplante oppervlakte</t>
  </si>
  <si>
    <t>oppervlakte braak</t>
  </si>
  <si>
    <t>omtrek van het perceel</t>
  </si>
  <si>
    <t>Totale oppervlakte wegen en paden</t>
  </si>
  <si>
    <t>totale oppervlakte parking, tussenopslag, laden en lossen</t>
  </si>
  <si>
    <t>totale oppervlakte excl gebouw en wegen</t>
  </si>
  <si>
    <t>totale oppervlakte incl wegen</t>
  </si>
  <si>
    <t>schaal site</t>
  </si>
  <si>
    <t>Parkeren, overslag</t>
  </si>
  <si>
    <t>parkeren, overslag; impact op het milieu</t>
  </si>
  <si>
    <t xml:space="preserve">Er is voor parkings en voor overslag  (wegen en voetgangerspaden) gekozen voor materialen en technieken met een minimale impact op het leefmilieu (broeikasgassen, grijze energie, verzuring, ..) en met behoud van natuurlijke hulpbronnen (gebruik van recyclagematerialen). </t>
  </si>
  <si>
    <t>&gt;25% van de parkings en overslag hebben een geoptimaliseerde materiaalkeuze en &gt;25% van de materialen/technieken zijn gerationaliseerd en aangepast aan de belasting en &gt;25% van de oplossingen komen uit een recyclage-filiaire</t>
  </si>
  <si>
    <t>&gt;50% van de parkings en overslag hebben een geoptimaliseerde materiaalkeuze en &gt;50% van de materialen/technieken zijn gerationaliseerd en aangepast aan de belasting en &gt;50% van de oplossingen komen uit een recyclage-filiaire</t>
  </si>
  <si>
    <t>&gt;75% van de parkings en overslag hebben een geoptimaliseerde materiaalkeuze en &gt;75% van de materialen/technieken zijn gerationaliseerd en aangepast aan de belasting en &gt;75% van de oplossingen komen uit een recyclage-filiaire</t>
  </si>
  <si>
    <t>&gt;90% van de parkings en overslag hebben een geoptimaliseerde materiaalkeuze en &gt;90% van de materialen/technieken zijn gerationaliseerd en aangepast aan de belasting en &gt;90% van de oplossingen komen uit een recyclage-filiaire en de gebruikte verven zijn ecologisch</t>
  </si>
  <si>
    <t xml:space="preserve">De parkings en overslag zijn geheel of gedeeltelijk gerealiseerd in gesteenta als dolomiet, gerecycleerd bouwpuin, ... (ratio in m²) </t>
  </si>
  <si>
    <t xml:space="preserve">De parkings en overslag zijn geheel of gedeeltelijk gerealiseerd in grasdallen ... (ratio in m²) </t>
  </si>
  <si>
    <t xml:space="preserve">De parkings en overslag zijn geheel of gedeeltelijk gerealiseerd in betontegels (ratio in m²) </t>
  </si>
  <si>
    <t xml:space="preserve">De parkings en overslag zijn geheel of gedeeltelijk gerealiseerd in klinkers (ratio in m²) </t>
  </si>
  <si>
    <t xml:space="preserve">De parkings en overslag zijn geheel of gedeeltelijk gerealiseerd in asfalt (ratio in m²) </t>
  </si>
  <si>
    <t>De parkings en overslag zijn geheel of gedeeltelijk gerealiseerd inasfalt,  gegoten bij lage temperatuur  (ratio in m²)</t>
  </si>
  <si>
    <t>De parkings en overslag zijn geheel of gedeeltelijk gerealiseerd in gewapend beton (ratio in m²)</t>
  </si>
  <si>
    <t>De parkings en overslag zijn geheel of gedeeltelijk gerealiseerd in  tweelagig gewapend beton met gebruik van gerecycleerde granulaten (ratio in m²)</t>
  </si>
  <si>
    <t xml:space="preserve">Wat is de totale oppervlakte van de parkings en overslag? </t>
  </si>
  <si>
    <t>Oppervlaktebekleding- en afbakening van het perceel</t>
  </si>
  <si>
    <t>Oppervlaktebekleding- en afbakening van het terrein</t>
  </si>
  <si>
    <t>Wat is de omtrek van het Terrein?</t>
  </si>
  <si>
    <t xml:space="preserve">impact op de gezondheid </t>
  </si>
  <si>
    <t>TARGET GEBOUW + PERCEEL</t>
  </si>
  <si>
    <t>bouwschil</t>
  </si>
  <si>
    <t>Le revêtement de façade est constitué en tout ou partie de matériaux bois (ex: bardage bois massif)? / ratio de surface de l'bouwschil m²?</t>
  </si>
  <si>
    <t>Vragenlijst Choix des matériaux des structuurs et des parois</t>
  </si>
  <si>
    <t>structuurs</t>
  </si>
  <si>
    <t>Bestaan de houtenruwbouwstructuurn uit prefabelementen? Ratio in m²</t>
  </si>
  <si>
    <t>structuur</t>
  </si>
  <si>
    <t>La conception de l'bouwschil et de la structuur permettent une extension verticale et/ou horizontale du bâtiment (ex: éléments préfabriqués assemblés mécaniquement) ?</t>
  </si>
  <si>
    <t>Draagstructuurn zijn van hout (ratio in m²)</t>
  </si>
  <si>
    <t>De ruwbouwstructuur bestaat voornamelijk uit steenachtig materiaal (beton, metselwerk, lichte structuurn met afwerkingsplaten zonder composietplaten?</t>
  </si>
  <si>
    <t>Levensduur</t>
  </si>
  <si>
    <t>Techn. installaties</t>
  </si>
  <si>
    <t>Ne nécessite pas de onderhoud</t>
  </si>
  <si>
    <t>Nécessite une onderhoud</t>
  </si>
  <si>
    <t>onderhoud</t>
  </si>
  <si>
    <t>ruwbouw</t>
  </si>
  <si>
    <t xml:space="preserve">ruwbouw </t>
  </si>
  <si>
    <t>2_isolatiemateriaals / sandwichs</t>
  </si>
  <si>
    <t>isolatiemateriaal</t>
  </si>
  <si>
    <t xml:space="preserve">ruw </t>
  </si>
  <si>
    <t>tussenmuren</t>
  </si>
  <si>
    <t>recyclagematerialen</t>
  </si>
  <si>
    <t>draagstructuur</t>
  </si>
  <si>
    <t>lichte structuren</t>
  </si>
  <si>
    <t>Werfafval</t>
  </si>
  <si>
    <t>meubilair</t>
  </si>
  <si>
    <t>binnenmuren</t>
  </si>
  <si>
    <t>afwerkingen</t>
  </si>
  <si>
    <t>asbest</t>
  </si>
  <si>
    <t>wanden</t>
  </si>
  <si>
    <t>GEBOUW &amp; PERCEEL</t>
  </si>
  <si>
    <t>PERCEEL</t>
  </si>
  <si>
    <t>Synthèse GEBOUW &amp; PERCEEL</t>
  </si>
  <si>
    <t>Ration. gebruik</t>
  </si>
  <si>
    <t>eco afwerk.</t>
  </si>
  <si>
    <t>Vegetatie</t>
  </si>
  <si>
    <t>Afscheidingen</t>
  </si>
  <si>
    <t>Stekken</t>
  </si>
  <si>
    <t>Vegetatief mat</t>
  </si>
  <si>
    <t>Vegetatief matbestaande constructies</t>
  </si>
  <si>
    <t>mineralen</t>
  </si>
  <si>
    <t>Oorsprong</t>
  </si>
  <si>
    <t>Ruwe werken</t>
  </si>
  <si>
    <t>Onderhoud</t>
  </si>
  <si>
    <t>Aanstellen van een coördinator mobiliteit, realiseren van een mobiliteitsanalyse en van een mobiliteitsplan</t>
  </si>
  <si>
    <t>Realisatie van een database en organisatie</t>
  </si>
  <si>
    <t>De eerste voorwaarde om een carpooling te laten slagen is om medereizigers te vinden. Er bestaat software die de belangrijkste functie heeft om mensen die carpooling willen toepassen, met mekaar in contact te brengen (bijvoorbeeld de software smartpool van taxistop).</t>
  </si>
  <si>
    <t>Aansluiten bij een externe database voor carpooling</t>
  </si>
  <si>
    <t>U meldt uw onderneming aan op een database via een internetsite: u kunt op die manier dan makkelijk partners voor uw medewerkers vinden. (voorbeeld carpoolplaza.be)</t>
  </si>
  <si>
    <t>Veiligstellen terugkeer naar huis</t>
  </si>
  <si>
    <t>In geval de chauffeur om één of andere reden niet naar huis kan rijden, zal het systeem aan de medewerker een oplossing aanbieden om terug naar huis te geraken. (zoeken van andere mogeliijke wagens of openbaar vervoer, speciale shuttle of een taxi, …). Dit is essentieel en de ervaring toont aan dat het niet zo duur is, vermits het uiteindelijk een zelden voorkomend fenomeen is.</t>
  </si>
  <si>
    <t>Samenwerking met andere ondernemingen of industrieterreinen</t>
  </si>
  <si>
    <t>Het is mogelijk om de kansen van carpooling te vergroten door samen te werken met andere ondernemingen of zelfs met andere nabijgelegen industrieterreinen.</t>
  </si>
  <si>
    <t>Carpooling indien nodig</t>
  </si>
  <si>
    <t>De medewerkers zullen van dit systeem kunnen gebruik maken als openbaar vervoer niet werkt omwille van technische problemen of staking.</t>
  </si>
  <si>
    <t>Betaling woon-werkverkeer</t>
  </si>
  <si>
    <t>Gratis parkings voorzien voor carpooling</t>
  </si>
  <si>
    <t>Er kan een vergoeding voorzien worden voor samenrijders voor het woon-werkverkeer juist zoals voor mensen die alleen in een wagen rijden.  Dit maandelijks bedrag is een complement aan het loon en kan dus door de fiscus gezien worden als een inkomst en derhalve ook belast. Indien daarentegen de onderneming een intern reglement van carpooling uitwerkt waarbij de samenrijders een verklaring op eer invullen, kan de carpooling beschouwd worden als een georganiseerd openbaar vervoer. Dat wordt uiteraard opgenomen in de loonfiche op het einde van het jaar. De samenrijder-passagier of chauffeur- heeft dan de keuze tussen een forfaitaire aftrek die overeenkomt met een treinabonnement eerste klasse voor dezelfde afstand, of de kosten bewijzen a rato 0,15 € per km. Om het beste systeem te kiezen, kan men gebruik maken van een calculator op de site carpoolplaza van taxistop.</t>
  </si>
  <si>
    <t>Organisatie van carpooling via engagementsverklaringen of contracten</t>
  </si>
  <si>
    <t>De voorwaarden voor de carpooling zijn beschreven in een contract of een engagementsverklaring (betalingsvoorwaarden, betrokken personen, etc.).</t>
  </si>
  <si>
    <t>Carpooling bevorderen voor de medewerkers</t>
  </si>
  <si>
    <t>Terugbetaling van alle kosten (met inbegrip van parkeerkosten) die het gevolg zijn van het traject tussen het bedrijf en het meest nabijgelegen station of bushalte.</t>
  </si>
  <si>
    <t>Terbeschikking stellen van beveiligde en gratis parkings of overdekte staanplaatsen</t>
  </si>
  <si>
    <t>Uitwerking van een project "bromfietsen": wie aan dit project meewerkt, kan een brommer bekomen aan gunstige voorwaarden dankzij een bijdrage van de onderneming.</t>
  </si>
  <si>
    <t>Het gebruik van brommers bevorderen</t>
  </si>
  <si>
    <t>Vrijwillige verhuis van de medewerkers</t>
  </si>
  <si>
    <t xml:space="preserve">Indien een onderneming meerdere zetels heeft, stel dan aan de medewerkers voor om bij de dichtstbijzijnde vestiging te werken. </t>
  </si>
  <si>
    <t>Vrijwillige delocalisatie van een gedeelte van het personeel naar een telecenter kort bij woonzones</t>
  </si>
  <si>
    <t xml:space="preserve">Ga na of het opportuun is om een aantal medewerkers die bij elkaar in de buurt wonen, samen te brengen op eenzelfde plaats dichtbij uw onderneming, maar indien mogelijk bereikbaar via openbaar vervoer. </t>
  </si>
  <si>
    <t>Aan de medewerkers de mogelijkheid bieden om te werken in vestigingen van de onderneming korter bij hun huis</t>
  </si>
  <si>
    <t>Verhuis van de vestigingen dichter naar het station of naar woonzones</t>
  </si>
  <si>
    <t>Toekennen van premies voor verhuis</t>
  </si>
  <si>
    <t xml:space="preserve">De medewerkers die dichter bij hun werkplaats wonen, krijgen een premie. </t>
  </si>
  <si>
    <t>Woongelegenheid aanbieden aan attractieve huurprijzen dicht bij de werkplaats of dicht bij stations of bushaltes</t>
  </si>
  <si>
    <t>Financiële deelname van een onderneming in het verwerven, de huur of de renovatie van een woning dicht bij het werk. Partnerships tussen onderneming en medewerkers om een toeslag te krijgen op de kosten van bouwen of renovatie van een appartementsgebouw voor het personeel.</t>
  </si>
  <si>
    <t xml:space="preserve">Verhuis van de onderneming naar een zone die een ruim aanbod biedt aan openbaar vervoer en bevorderen van de verhuis van de medewerkers naar woonzones korter bij de onderneming </t>
  </si>
  <si>
    <t>Ontwikkeling van een bedrijfscultuur, beroep doen op een samenwerking, het volledige personeel betrekken</t>
  </si>
  <si>
    <t>De ondersteuning van de directie zoeken, participatieve  benadering bevoordelen en betrekken van alle medewerkers in de onderneming</t>
  </si>
  <si>
    <t>Verspreiding van algemene informatie  over de mogelijke alternatieven voor het alleen rijden met de wagen (trein, fiets, openbaar vervoer, carpooling, ...)</t>
  </si>
  <si>
    <t>- realisatie van fiches aangaande multimodale toegankelijkheid van en naar de onderneming: stations, bushaltes, uurregelingen, ... Infrastructuur voorzien van bereikbare infrastructuur via fiets, taxistations, gedeelde voertuigen, voetgangerspaden, ... 
- verspreiding via e-mail, bedrijfskrantjes, affiches, ...                                                                                                                                                                                                                                                        - de informatie moet evolueren en op tijd geactualiseerd worden, nieuwigheden dienen bekend gemaakt</t>
  </si>
  <si>
    <t>Gepersonaliseerde informatie bezorgen aan de medewerkers over de alternatieve mogelijkheden van verplaatsing</t>
  </si>
  <si>
    <t>Een inventaris opmaken van de verschillende verplaatsingsmogelijkheden voor de medewerker om zijn woon-werkverplaatsingen te organiseren. Dit is een initiatief dat wel wat tijdsinvestering vraagt van de kant van de werkgever, maar is ook interessant voor de werknemer en kan hem over de brug helpen.</t>
  </si>
  <si>
    <t>Internetsite mobiliteit</t>
  </si>
  <si>
    <t>De internetsite geeft de nodige informatie over de mobiliteit: fiches over multimodale bereikbaarheid, links naar uurregelingen van openbaar vervoer, centrale voor carpooling, parkingkaart voor dichtbij gelegen parkings (bijvoorbeeld aan een station), lijst van carpool parkings,...</t>
  </si>
  <si>
    <t>Een servicepunt voorzien voor de gebruikers van alternatieve verplaatsingsvormen</t>
  </si>
  <si>
    <t>Een manier om het gebruik van openbaar vervoer te bevorderen, is om een loket te voorzien waar informatie gegeven wordt en eventueel ook tickets verkocht worden; dit op het bedrijf zelf</t>
  </si>
  <si>
    <t>Ter beschikking stellen van abonnementen voor trein, metro, tram en bus gedurende een testperiode</t>
  </si>
  <si>
    <t>Een speciaal abonnement wordt ingevoerd om de personeelsleden de mogelijkheden van het openbaar vervoer beter te leren kennen. Dankzij dit abonnement kunnen de medewerkers gedurende bijvoorbeeld een maand gratis de openbaar vervoersmogelijkheden testen en zodoende ook de beste mogelijkheden voor henzelf uitkiezen.</t>
  </si>
  <si>
    <t>Organisatie van actiedagen, actieperiodes, …</t>
  </si>
  <si>
    <t>Deelname aan een dag van lokale mobiliteit en openbaar vervoer, aan de week van de mobiliteit, eventueel weddenschappen tussen ondernemingen, beroep doen op externe diensten of manifestaties, testen van elektrische fietsen of plooifietsen, opleidingen, promotie van carpooling, bike to work, etc...</t>
  </si>
  <si>
    <t>Instrumenten voor informatie, sensibilisatie en vorming voor alle medewerkers voorzien</t>
  </si>
  <si>
    <t>Een betalende parking organiseren in de onderneming</t>
  </si>
  <si>
    <t>Beperking van de mogelijkheden van parking</t>
  </si>
  <si>
    <t>Opgepast: te weinig parkeermogelijkheden rond de onderneming kan ook wel belangriijke overlast bezorgen aan de omgeving. Een goed beheer van de situatie is uiteraard nodig om de integratie van de onderneming in de omgeving te bevorderen.</t>
  </si>
  <si>
    <t>Overeenkomsten tussen agglomeraties/gemeenten en ondernemingen </t>
  </si>
  <si>
    <t>Aansluiten op initiatieven van de overheid i.v.m. openbaar vervoer</t>
  </si>
  <si>
    <t xml:space="preserve">- Als pilootproef, navettes organiseren met een in-de-tijd-beperkte-tussenkomst gedurende de opstartfase in het kader van het in werking brengen van een mobiliteitsplan van een onderneming of een bedrijventerrein. 
- Ter beschikking stellen van een begeleidings- en adviesdienst over de realisatie van een mobiliteitsplan. 
- Een geprevilegeerd partnership voor het technisch en financieel ondersteunen van het mobiliteitsplan.
- Verlaging van de prijs voor openbaar vervoer voor het personeel van de ondernemingen die aan het mobiliteitsplan meedoen: dit betekent een vrij gebruik van alle lijnen van het openbaar vervoer, gratis toegang tot parkings, abonnementen op fietssystemen, ...
</t>
  </si>
  <si>
    <t>Zoeken en voorstellen van partenariaten om meer globale oplossingen i.v.m. mobiliteit te kunnen aanbieden</t>
  </si>
  <si>
    <t>Verminderen, vermijden of rationaliseren van de beroepsgebonden verplaatsingen. Harmonisatie van de werktijden en de professionele verplaatsingen, toelaten van flexibiliteit met de verschillende soorten werk.</t>
  </si>
  <si>
    <t>Deze maatregel laat toe om de kilometeronkosten te verminderen. Deze besparingen kunnen dan eventueel geïnvesteerd worden in andere bevorderingen van openbaar vervoer. 
- Toelaten dat het werk georganiseerd wordt rekening houdend met de uurregelingen van trein en bus.
- De medewerker (bijvoorbeeld vertegenwoordiger) toelaten om onmiddellijk naar huis te gaan na een vergadering of na een afspraak dicht bij zijn huis.
- De medewerker toelaten om naar een afspraak te gaan, rechtstreeks vanuit zijn huis.
- De organisatie aanmoedigen om vergaderingen op locaties dichtbij openbaar vervoer te houden.
- Indien er meerdere sites zijn in de onderneming, vergaderingen bevorderen op de site die het meest aantal participanten telt.
- Aanmoedigen aan het personeel om hun verplaatsingen op voorhand aan te kondigen, zodat eventueel samen rijden mogelijk is. 
- Gebruik van laptops en telecenters om aan vertegenwoordigers toe te laten om tussen twee bezoeken hun werk voort te zetten.
- Nadenken over de reorganisatie van het werk van deeltijds werknemers. Bijvoorbeeld door hun uren zo samen te laten vallen dat ze samen kunnen rijden. 
- Nadenken over de mogelijkheid van een 36-uren week in 4 dagen te organiseren.</t>
  </si>
  <si>
    <t>Voorkeur geven aan solicitanten die dichtbij het werk wonen</t>
  </si>
  <si>
    <t>Voorrkeur geven aan solicitanten die dichtbij het werk wonen</t>
  </si>
  <si>
    <t>Mogelijkheid bieden aan medewerkers om van thuis uit te werken</t>
  </si>
  <si>
    <t>- Een informaticastructuur Telewerk op poten zetten.
- Mee betalen/participeren in de kosten van internetverbindingen.</t>
  </si>
  <si>
    <t>Onderhandeling met autoriteiten om de toegang tot het werk voor voetgangers te verbeteren</t>
  </si>
  <si>
    <t>Met de lokale autoriteiten wordt een onderhandeling opgestart om de toegangswegen voor de voetgangers die leiden naar de vestiging te verbeteren en eventueel ook om bushaltes te voorzien in de nabijheid</t>
  </si>
  <si>
    <t>Toelag voor de aankoop of het onderhoud van schoenen</t>
  </si>
  <si>
    <t>Men zou het te voet komen naar het werk kunnen bevorderen door een toelage te geven voor de aankoop of de reparatie van schoenen</t>
  </si>
  <si>
    <t>Compensatie voorzien voor woon-werk-verplaatsingen voor voetgangers, roller skaters, …</t>
  </si>
  <si>
    <t>Een kilometervergoeding voorzien voor werknemers die te voet of met roller skates naar het werk komen</t>
  </si>
  <si>
    <t>Bevorderen van de verplaatsingen te voet</t>
  </si>
  <si>
    <t>Toelaten en faciliteren van Telewerk</t>
  </si>
  <si>
    <t xml:space="preserve">Een verzekering van terugkeer naar huis verzorgen </t>
  </si>
  <si>
    <t>In geval de trein door staking of een technisch probleem niet rijdt, zorgen dat de medewerkers terug thuis kunnen geraken</t>
  </si>
  <si>
    <t>Gratis maken van de parking in de buurt van het station</t>
  </si>
  <si>
    <t>Tussenkomst van de onderneming in de kosten van parkeerkosten dichtbij een station.</t>
  </si>
  <si>
    <t>Complementaire tegemoetkomingen voor verplaatsingen per trein</t>
  </si>
  <si>
    <t>Wettelijk is er een tussenkomst van de verplaatsingskosten voorzien van 75%, welke ook de manier van verplaatsen is.  Het bedrijf kan zelf 100% van de prijs van de abonnementskosten voor zijn rekening nemen; dit is volledig fiscaal aftrekbaar.</t>
  </si>
  <si>
    <t>Vestigingen in de nabijheid van een station</t>
  </si>
  <si>
    <t>Voor vestigingen die zich op minder dan 1km van het station bevinden, is het aantal treingebruikers 5 maal groter dan in andere gevallen</t>
  </si>
  <si>
    <t>Complementaire tegemoetkomingen voor verplaatsingen per trein: derde-betaler-systeem</t>
  </si>
  <si>
    <t xml:space="preserve">Door de NMBS is een systeem uitgewerkt van derde-betaler. Indien de werkgever een interventie van 80% van de treinkaart tot zich neemt, zal de NMBS de overige 20% ten zijner laste nemen, zodat de medewerkers uiteindelijk niets meer hoeven te betalen. Uiteraard is dit een kost en dus volledig aftrekbaar. Voor details: neem hiervoor  contact op met de NMBS.  
</t>
  </si>
  <si>
    <t xml:space="preserve">Voor lange trajecten (meer dan x km) terugbetaling van de reiskosten aan meer dan 100% </t>
  </si>
  <si>
    <t>Het treinabonnement is tot 150 % terugbetaald voor de medewerkers die meer dan x km per traject moeten doen</t>
  </si>
  <si>
    <t>Bevordering van het gebruik van de trein voor woon-werkverkeer en professionele verplaatsingen</t>
  </si>
  <si>
    <t xml:space="preserve">Een reservatiedienst aanbieden, aankoop van tickets, informatie over uurregelingen, flexibiliteit toelaten in functie van verplaatsingen per trein, een laptop ter beschikking stellen om te kunnen werken op de trein, ... </t>
  </si>
  <si>
    <t xml:space="preserve">Bevordering van het gebruik van de trein  </t>
  </si>
  <si>
    <t>Samenwerking met andere ondernemingen om een woon-werkverkeer te organiseren</t>
  </si>
  <si>
    <t>Collectief transport gedeeld door de verschillende ondernemingen</t>
  </si>
  <si>
    <t>Partnerships tussen ondernemingen of groepen van ondernemingen en de openbaar vervoermaatschappijen</t>
  </si>
  <si>
    <t>Analyseren van een eventuele kritische drempel vanaf dewelke De Lijn of de NMBS - in kader van zijn missie - een partnership zou aangaan</t>
  </si>
  <si>
    <t>Navette woon-werk</t>
  </si>
  <si>
    <t>- Indien geen enkel alternatief voor De Lijn of de NMBS mogelijkheid geeft om een efficiënte verbinding te organiseren                                                                                                              - De aanvragen worden case per case behandeld. Praktisch, elke dag, wordt een lijst van gebruikers uitgewerkt en aan de verschillende chauffeurs doorgegeven. Er zijn twee types voorzien: het ene op vaste uren en het andere op aanvraag.
- De organisatie van uurregelingen geeft niet meer beperkingen dan met openbaar vervoer 
- De ondernemer kan 120% van de kosten als kost inbrengen.
- Vlaamse Pendelfonds: voor een project van sociale mobiliteit (voor personen met minder financiële mogelijkheden) is een tussenkomst van 50% gedurende maximaal 4 jaar voor de organisatie van transportdiensten voorzien</t>
  </si>
  <si>
    <t xml:space="preserve">Van-pooling betekent in feite carpooling met een camionette of minibus met minder dan 7 plaatsen. In de Verenigde Staten is de term meer gebruikt in geval van carpooling met een voertuig dat door de onderneming is ter beschikking gesteld: eigen, via leasing of door een gespecialiseerde firma. De ondernemingen gespecialiseerd in van-pooling een eigen systeem op maat van meerdere ondernemingen organiseren. Ze gebruiken een systeem om groepen van van-poolers te identificeren en daarna de nodige voertuigen en logistieke ondersteuning te verzorgen 
Voordelen ten opzichte van een bus van de onderneming of taxisysteem zijn uiteraard de prijs en de flexibiliteit. In vergelijking met carpooling is de flexibiliteit het belangrijkste voordeel: dat er meerdere personen tegelijk kunnen vervoerd worden met één enkel voertuig, hetgeen uiteraard energetisch efficiënter is. Nadeel is dat het minder flexibel is dan carpooling en minder efficiënt in termen van fiscale aftrek van kilometers. Van-pooling is voornamelijk gebruikt voor trajecten van rechtstreeks woon-werkverkeer. Het wordt vooral gebruikt om een nieuwe dienst aan te bieden in zones die weinig bediend worden door andere vormen van openbaar vervoer. Dikwijls wordt de chauffeur beloond door de mogelijkheid te hebben om het vervoersmiddel ook te gebruiken voor andere doeleinden. </t>
  </si>
  <si>
    <t>Gratis shuttle van en naar het station of de bushalte</t>
  </si>
  <si>
    <t>Meerdere malen per dag kan een shuttle de verbinding tussen het station en de bushalte verzorgen.</t>
  </si>
  <si>
    <t>Organisatie van het collectief vervoer door de onderneming</t>
  </si>
  <si>
    <t>Verzekeren van terugkeer naar huis</t>
  </si>
  <si>
    <t xml:space="preserve">In geval van problemen met de fiets wordt een andere oplossing geboden zodat iedereen op tijd thuis kan geraken. </t>
  </si>
  <si>
    <t>Onderhandeling met de autoriteiten over de toegangswegen naar de werkplaats om de befietsbare infrastructuur te verbeteren en te beveiligen</t>
  </si>
  <si>
    <t>Onderhandelen met de lokale autoriteiten die verantwoordelijk zijn voor de wegen om met fiets-berijdbare toegangswegen naar de onderneming te verbeteren. De veiligheid op deze fietspaden kan een bezorgdheid zijn doordat de onderhandelingen met die overheden een permanent karakter moeten aannemen.</t>
  </si>
  <si>
    <t>Tegemoetkomingen voor verplaatsingen per fiets (woon-werk en professioneel)</t>
  </si>
  <si>
    <t xml:space="preserve">De kilometervergoeding per fiets is geïndexeerd en de afstand niet geplafonneerd. Deze verplaatsingen mogen ook door de werknemer via zijn belastingen worden afgetrokken als reële professionele kosten. De tegemoetkoming gaat over het woon-werkverkeer of een gedeelte ervan. Bijvoorbeeld: van thuis naar het station of naar een plaats van afspraak voor een carpooling. De kilometervergoeding is volledig aftrekbaar voor de werkgever.  </t>
  </si>
  <si>
    <t>Inschrijving in Bike to work</t>
  </si>
  <si>
    <t>Bike To Work is een permanent programma dat de burgers wil aansporen om meer de fiets te gebruiken om te gaan werken. Het werkt via punten die men kan verdienen en die men kan omzetten in aankopen voor de fiets. 
Concours : des équipes de cyclistes se forment dans les entreprises et en défient d'autres, durant un mois. Esprit d'équipe, compétition, possibilité de gagner un merveilleux prix, mais surtout plaisir !</t>
  </si>
  <si>
    <t>Ter beschikking stellen van douches en ruimtes om zich om te kleden</t>
  </si>
  <si>
    <t xml:space="preserve">De werkgever bekomt een verhoogde fiscale aftrek (120 %) voor de kosten die van aard zijn om het gebruik van de fiets naar de onderneming te bevorderen. Dus bijvoorbeeld het verwerven, het bouwen of het transformeren van een lokaal waar men de fiets kan stallen gedurende de werkuren of vestiaires en sanitair (bijvoorbeeld douches) te gaan installeren. </t>
  </si>
  <si>
    <t>Ter beschikking stellen van fietsen (plooifietsen, electrische fietsen, ...) die goed uitgerust zijn (bagagedrager, slot, ...) voor professionele verplaatsingen en een efficiënt reservatiesysteem</t>
  </si>
  <si>
    <t xml:space="preserve">Vrijgesteld voordeel voor de werknemer, met inbegrip van bijkomende kosten. Het gebruik voor privé-doeleinden is eveneens vrijgesteld, in de mate uiteraard dat de fiets ook gebruikt wordt voor woon-werkverkeer. Het gaat dus niet meer om een voordeel in natura. Deze maatregel is bovendien cumuleerbaar met de fiscale vrijstelling van de kilometervergoeding. De werkgever krijgt een verhoogde fiscale aftrek (120 %) voor de kosten die het gebruik van de fiets naar de onderneming bevorderen. Bijvoorbeeld de aanschaf, de bouw of de transformatie van een lokaal om de fietsen te stallen gedurende de werkuren, vestiaires of sanitaire voorzieningen en ook de kosten van aankoop en onderhoud van fietsen.  </t>
  </si>
  <si>
    <t>Ter beschikking stellen van fietsen (plooifietsen, electrische fietsen, ...) die goed uitgerust zijn (bagagedrager, slot, ...) voor woon-werkverkeer en een efficiënt reservatiesysteem</t>
  </si>
  <si>
    <t>Ter beschikking stellen van fietsen (plooifietsen, electrische fietsen, ...) die goed uitgerust zijn (bagagedrager, slot, ...) bij het station en een efficiënt reservatiesysteem</t>
  </si>
  <si>
    <t xml:space="preserve">De werkgever krijgt een verhoogde fiscale aftrek (120 %) voor de kosten die het gebruik van de fiets naar de onderneming bevorderen. Bijvoorbeeld de aanschaf, de bouw of de transformatie van een lokaal om de fietsen te stallen gedurende de werkuren, vestiaires of sanitaire voorzieningen en ook de kosten van aankoop en onderhoud van fietsen.  </t>
  </si>
  <si>
    <t>Ter beschikking stellen of terugbetalen van helmen, fluo vesten, regenkledij en fietskaarten</t>
  </si>
  <si>
    <t>Ter beschikking stellen van parkeerplaatsen of bergingsplaatsen van fietsen, overdekt en beveiligd</t>
  </si>
  <si>
    <t>Ter beschikking stellen van plaatsen en kits voor onderhoud en herstel van fietsen</t>
  </si>
  <si>
    <t>Terugbetaling van alle kosten (met inbegrip van stalkosten) die het gevolg zijn van het gebruik van de fiets voor het traject naar het station of de halte</t>
  </si>
  <si>
    <t>Bevorderen van het gebruik van de fiets</t>
  </si>
  <si>
    <t>Bevorderen/verplichten om firmawagens te kiezen met lage emissie (&lt;105 g/km) of electrische wagens</t>
  </si>
  <si>
    <t>Op federaal niveau is de fiscale aftrekbaarheid van bedrijfswagens vandaag rechtstreeks verbonden aan de CO2-emissie van elk voertuig. 
Sommige ondernemingen hebben besloten om de werknemers die opteren voor kleinere wagens of wagens met kleinere CO2-uitstoot - en daardoor ook minder verbruik - te belonen met bijvoorbeeld abonnementskaarten, fietsen, ...</t>
  </si>
  <si>
    <t>Inschrijving van bedrijfswagens in een pool met een reservatiesysteem</t>
  </si>
  <si>
    <t xml:space="preserve">Dienstwagens worden aan het personeel ter beschikking gesteld voor hun professsionele verplaatsingsen. Dit systeem laat de werkgevers toe om hun woon-werkverkeer met een ander transportmiddel dan de individuele wagen te realiseren. Niets houdt ook de mensen die 's morgens vroeg een vergadering hebben, tegen om deze wagen ook 's avonds mee naar huis te nemen. Uiteraard moet een reservatiesysteem worden opgezet. Het systeem is ideaal voor mensen die regelmatig - maar niet dagelijks - professionele verplaatsingen maken. </t>
  </si>
  <si>
    <t>Combinatie tussen het gebruik van de auto, trein en fiets</t>
  </si>
  <si>
    <t xml:space="preserve">Om het gebruik van de firmawagen te beperken, en er nog meer rationeel van gebruik te maken, beginnen leasingfirma's dergelijke formule aan te bieden. Bijvoorbeeld: men vindt treintickets in het handschoenkastje van de wagen, om naar een afspraak dicht bij het station te gaan; een vouwfiets is soms inbegrepen in het leasingcontract. </t>
  </si>
  <si>
    <t>Taxi cheques</t>
  </si>
  <si>
    <t xml:space="preserve">Het gaat hier om een contract tussen de onderneming en het taxibedrijf, waardoor de professionele verplaatsingen in een taxi gebeuren door het uitwisselen van een cheque. </t>
  </si>
  <si>
    <t>Niet-professionele faciliteiten voorzien op de site</t>
  </si>
  <si>
    <t xml:space="preserve">De levering van voedingsmiddelen op de werkplaats kan met een winkel uit de regio afgesproken worden. Dit zou de werknemers toelaten om hun boodschappen te doen zonder een extra wagen nodig te moeten hebben. Maaltijden of andere diensten kunnen geleverd worden in de onderneming, zodat ondernemers niet tijdens de middag met de wagen moeten rijden. Een andere mogelijkheid is een kantine of een kleine winkel te organiseren. Voor kleine ondernemingen kunnen er automatische verdelers van snacks of sandwiches, fruitsappen en koffie een oplossing betekenen. Andere diensten kunnen ter beschikking worden gesteld zoals droogkuis, post, bank, ... Ook het installeren van een kindercrèche of een kinderoppas kan tamelijk wat trajecten helpen vermijden. Voor grote ondernemingen of industriële bedrijventerreinen is het zelfs mogelijk om een klein commercieel centrum, een school of andere diensten te voorzien.  </t>
  </si>
  <si>
    <t>Betaalparking voor alleenrijders</t>
  </si>
  <si>
    <t>Parkeren betalend maken voor de medewerkers die een bedrijfswagen bezitten en alleen naar het werk komen.</t>
  </si>
  <si>
    <t>Parking beperken in de tijd of een aantal dagen per jaar</t>
  </si>
  <si>
    <t>De parkeermogelijkheden aan het bedrijf beperken voor bedrijfswagens.</t>
  </si>
  <si>
    <t>Bevorderen van een rationeel gebruik van bedrijfswagens</t>
  </si>
  <si>
    <t>Beperken van de toegangstijd tot de parking van het bedrijf voor privéwagens.</t>
  </si>
  <si>
    <t>Toekennen van een parkeerplaats in functie van toegankelijkheid vanuit de woonplaats van de medewerkers</t>
  </si>
  <si>
    <t>De parkeerplaatsen verdelen en eerst uitdelen aan de medewerkers die het verst wonen.</t>
  </si>
  <si>
    <t>Gereserveerde parkings voor personen met beperkte mobiliteit, die per wagen komen</t>
  </si>
  <si>
    <t>De eerste parkeerplaatsen voorzien voor personen met beperkte mobiliteit.</t>
  </si>
  <si>
    <t>Maak de parking betalend voor de medewerkers die alleen, met hun eigen wagen naar het werk komen.</t>
  </si>
  <si>
    <t>Combinatie van auto + fiets of trein/tram/bus met perifere parkings</t>
  </si>
  <si>
    <t xml:space="preserve">De combinatie auto + fiets is bevorderd dankzij parkings in de buurt, waar men de wagen kan stationneren terwijl men het laatste stuk van het traject aflegt per fiets of per trein/tram/bus. </t>
  </si>
  <si>
    <t xml:space="preserve">Terugbetaling van alle kosten (met inbegrip van parkeerkosten) die voortkomen uit het traject van en naar het station of een bushalte met zacht transport. </t>
  </si>
  <si>
    <t>Bevordering van een rationeel gebruik van privéwagens</t>
  </si>
  <si>
    <t>Abonnementen onder een systeem van gedeelde voertuigen voor professionele verplaatsingen</t>
  </si>
  <si>
    <t xml:space="preserve">Wanneer een onderneming een contract tekent met de onderneming Cambio - uiteraard een Belgische dienst - dan zal deze laatste het beheer van de voertuigen op zich nemen. De reservaties kunnen tot 1 uur voordien genomen worden. Het is voldoende zich te abonneren op het systeem en de reservatie gebeurt online. De Lijn, de STIB, de TEC en de NMVB zijn aandeelhouders van Cambio, die ze beschouwen als een volledige partner in hun aanbod van vervoer. </t>
  </si>
  <si>
    <t>Parkings gereserveerd voor gedeelde voertuigen</t>
  </si>
  <si>
    <t>Bevorderen van het gebruik van gedeelde voertuigen</t>
  </si>
  <si>
    <t>Het personeel toestaan om een gedeelte van de dag te telewerken en zich enkel buiten de piekuren naar het bureau te begeven. De werknemers toestaan om een gedeelte van de week de telewerken, of in uitzonderlijke gevallen (problemen met het openbaar vervoer, weersomstandigheden, …).</t>
  </si>
  <si>
    <r>
      <t xml:space="preserve">De reiziger is onderhevig aan </t>
    </r>
    <r>
      <rPr>
        <sz val="8"/>
        <color rgb="FFFF0000"/>
        <rFont val="Arial"/>
        <family val="2"/>
      </rPr>
      <t>(Le travailleur jjat de</t>
    </r>
    <r>
      <rPr>
        <sz val="8"/>
        <rFont val="Arial"/>
        <family val="2"/>
      </rPr>
      <t>)  heel wat flexibiliteit, met verschillende werkvormen en werkfrequenties en het Telewerk blijft conform aan de werkschema's die eerder werden vastgelegd voor elke werkshift.</t>
    </r>
  </si>
  <si>
    <t xml:space="preserve">In geval van falen van het openbaar vervoer, een alternatieve oplossing verzekeren die de reiziger toelaat makkelijk tot bij zijn thuis te geraken. </t>
  </si>
  <si>
    <t xml:space="preserve">Extra reisonkostenvergoeding voor MTB. </t>
  </si>
  <si>
    <t>Het wettelijk minimum voor verplichte tussenkomst in verplaatsingskosten is vastgelegd op ongeveer 75%, ongeacht welk type van openbaar vervoer, en wordt berekend op basis van de abonnementsprijs van het SNCB. Een uitbreiding van deze bepalingen, gaande tot 100 % van de abonnementsprijs, is volledig fiscaal aftrekbaar voor de werkgever en volledig vrijgesteld voor de reiziger, zelfs zonder abonnement of in het kader van een onregelmatig gebruik.</t>
  </si>
  <si>
    <t xml:space="preserve">Ondersteuningskosten door de werkgever op basis van het girale systeem (derdebetalersysteem?) . Dankzij deze maatregel is het openbaar vervoer gratis voor het woon-werkverkeer, de conventie tiers payant 80/20 voorgesteld door de SNCB (mogelijk ook met de STIB): indien de werkgever zijn tussenkomst van 80%  van de treinticketprijs voor zijn rekening neemt, neemt de SNCB de overige 20% voor zijn rekening, zodat de treinreizigers niets meer hoeven te betalen. In het kader van deze conventie genieten de patronale tussenkomsten van een totale fiscale uitsluiting, is de BTW recupereerbaar en kan de werkgever kiezen voor jaarlijkse treinabonnementen, waarvan de prijs gelijk is aan 10 maal de maandelijkse abonnementsprijs. Wanneer men uiteindelijk deze drie elementen samenvoegt, bedraagt het effectieve financiële voordeel lager dan de stijging van de wettelijke tussenkomst. Vervolgens factureert de SNCB het deel dat de werkgever betaalt. Het SNCB ontfermt zich volledig over de administratieve afhandeling en boekhouding van de abonnementen. De werkgever beschikt over permanente toegang via internet tot de gegevens m.b.t. de treinkaarten van zijn medewerkers en hoeft geen taken voor zijn rekening te nemen m.b.t. uitbetaling van de patronale tussenkomsten. Tenslotte dient de werkgever niets te betalen bij het hernieuwen van zijn treinkaart. Hij kan zelfs zijn treinabonnement online vernieuwen, zonder zich te verplaatsen. </t>
  </si>
  <si>
    <t>Bijkomende reisvergoedingen voor MTB: derdebetaler systeem</t>
  </si>
  <si>
    <t>Installatie in de nabijheid van haltes voor MTB</t>
  </si>
  <si>
    <t>Het abonnement is tot 150 % terugbetaald voor de medewerkers die meer dan x km per traject moeten doen</t>
  </si>
  <si>
    <t>Bevorderen van het gebruik van het openbaar vervoer (MTB) voor professionele verplaatsingen</t>
  </si>
  <si>
    <t xml:space="preserve">Een reservatiedienst aanbieden, aankoop van tickets, informatie over uurregelingen, flexibiliteit toelaten in functie van verplaatsingen per openbaar vervoer, een laptop ter beschikking stellen om te kunnen werken tijdens de rit, ... </t>
  </si>
  <si>
    <t>Bevorderen van het gebruik van openbaar vervoer</t>
  </si>
  <si>
    <t>Coördinatie</t>
  </si>
  <si>
    <t>Aanwezigheid van een coördinator mobiliteit op het industriepark</t>
  </si>
  <si>
    <t>De analyse van het woon-werkverkeer te stimuleren is een middel om een beleid van actieve mobiliteit na te streven in overleg met werknemers</t>
  </si>
  <si>
    <t>Oprichting van een mobiliteitsplan in de economische activiteitenzone (PMZA)</t>
  </si>
  <si>
    <t>Bepaalde plannen van verplaatsing van ondernemingen omvatten een gehele activiteitenzone: het zgn. Plans de Mobilité des Zones d'Activités (PMZA)</t>
  </si>
  <si>
    <t>Voorbehouden plaatsen voor wagens die duidelijk herkenbaar maken dat ze aan carpooling doen</t>
  </si>
  <si>
    <t>Carpooling aanmoedigen aan reizigers</t>
  </si>
  <si>
    <t>Overleg over toegangswegen met overheidsinstanties: vaststelling van de planning van infrastructuur met het oog op een verbetering van de service van het openbaar vervoer</t>
  </si>
  <si>
    <t>Raadpleeg de lokale verantwoordelijken voor toegangswegen, die bijdragen aan de eenheid van infrastructuur om alzo het verkeer op deze wegen veilig te stellen, of om beveiligde rijstroken voorbehouden voor bus of voor gemeenschappelijke vervoersmiddelen gebruikt door bedrijven in de buurt van het bedrijventerrein.</t>
  </si>
  <si>
    <t>Overleg met overheidsinstanties over toegangswegen voor voetgangers naar de werkplaats</t>
  </si>
  <si>
    <t>Overleg vindt plaats met lokale overheden verantwoordelijk voor toegangswegen voor voetgangers die bijdragen tot eenheid van het etablissement; bijvoorbeeld als eerste het verkeer op deze wegen te beveiligen, door redelijke afstand tussen de stopplaatsen te voorzien (10 – 15 minuten stappen maximum)...</t>
  </si>
  <si>
    <t xml:space="preserve">Overleg met overheden over de toegangswegen over de werkplaats om de berijdbare infrastructuur naar deze plaats te verbeteren en te handhaven </t>
  </si>
  <si>
    <t>Overleg met lokale overheden van toegangswegen voor fietsers die bijdragen tot eenheid van het etablissement om alzo als eerste het verkeer op deze wegen te handhaven. De veiligheid van de fietspaden kan een bezorgdheid zijn (doorkruising met het gebied van de buslijn bijv.), wat aantoont dat het overleg met de wegbeheerders voortdurend verbeterd dient te worden.</t>
  </si>
  <si>
    <t>Verbeteren van fietsinfrastructuur in het park</t>
  </si>
  <si>
    <t>Aanbieden van parkeerplaatsen of overdekte stallingen, beveiligd (enkel toegang met badge) en gratis voor fietsen</t>
  </si>
  <si>
    <t>Introductie van betaald parkeren</t>
  </si>
  <si>
    <t>Beperken van parkeermogelijkheden</t>
  </si>
  <si>
    <t xml:space="preserve">Opgelet: Onvoldoende aanbod van parkeerplaatsen rond de onderneming genereert ongemakken, vaak belangrijk voor de bewoners. Om deze situatie goed te beheren, dient de onderneming goed geïntegreerd te worden in de wijk. </t>
  </si>
  <si>
    <t>Zorgen voor niet-professionele faciliteiten op de site</t>
  </si>
  <si>
    <t xml:space="preserve">Er kunnen extra services worden voorzien, zoals wasmachines, droogkuis, postkantoor, bank, medische hulp of zelfs een gym. De inrichting van crèches of kinderopvang kan kan ook autoritten vermijden. Voor grote ondernemingen of industrieparken, is het zelfs mogelijk dat er wordt voorzien in een commercieel centrum, een school of andere dienst in de buurt van de site. </t>
  </si>
  <si>
    <t>Verbeteren van de toegankelijkheid naar de bedrijven/bedrijfspark om het openbaar vervoer en zachte transport te bevorderen</t>
  </si>
  <si>
    <t>Gezamenlijke verhuis van het personeel</t>
  </si>
  <si>
    <t>Aan werknemers mogelijkheid bieden om in bedrijfseenheden dichtbij hun huis te werken</t>
  </si>
  <si>
    <t>Verhuis van het bedrijf of van de werknemers</t>
  </si>
  <si>
    <t>Het bedrijf bouwen op een goede locatie</t>
  </si>
  <si>
    <t>Samenhang verzekeren tussen het mobiliteitsprofiel van bedrijven en het toegankelijkheidsprofiel van een site. Voorbeeld: activiteiten met een hoge/medium dichtheid aan werknemers/bezoekers in gebieden die vlot bereikbaar zijn met het openbaar vervoer.</t>
  </si>
  <si>
    <t>Localisatie van het park in de buurt van een modaal knooppunt</t>
  </si>
  <si>
    <t>Installatie in de buurt van een bus-, trein-, tram-, metrostation</t>
  </si>
  <si>
    <t>Voor bedrijven die op minder dan 1 km van het station gelegen zijn, is het aantal treingebruikers 5 keer meer dan in andere bedrijven (21,2 % tegenover 3,9 %)</t>
  </si>
  <si>
    <t>Localisatie - delocalisatie</t>
  </si>
  <si>
    <t>Installatie in de buurt van een bus-, trein-, tram-, metrostation - localisatie van de onderneming</t>
  </si>
  <si>
    <t>Partnerships: overheden, regionale/lokale instanties, openbare vervoersmaatschappijen, beheerders van wegen, …</t>
  </si>
  <si>
    <t>De routes van buslijnen aanpassen, zodat ze verder lopen tot op het bedrijfspark.</t>
  </si>
  <si>
    <t xml:space="preserve">De afstand tot de haltes redelijk houden (10 – 15 minuten stappen maximum) </t>
  </si>
  <si>
    <t>Raadplegen van de dienstregelingen van trein, tram, bus, metro</t>
  </si>
  <si>
    <t>Dienstregelingen van vervoersmaatschappijen aanpassen aan de werkuren in het bedrijfspark</t>
  </si>
  <si>
    <t>Nieuw verkeersplan opstellen voor wijken in de buurt van een industriepark</t>
  </si>
  <si>
    <t xml:space="preserve">Allereerst een globale rondvraag organiseren bij de buurtcomités, openbare vervoersmaatschappijen en lokale overheden om samen oplossingen te zoeken die toelaten lde verkeerssituatie in de wijk te verbeteren. </t>
  </si>
  <si>
    <t>Overeenkomsten tussen steden/gemeenten en bedrijven </t>
  </si>
  <si>
    <t>Coordinator</t>
  </si>
  <si>
    <t>Localisatie</t>
  </si>
  <si>
    <t>Acties</t>
  </si>
  <si>
    <t>andere maatregelen</t>
  </si>
  <si>
    <t>Inrichtingen</t>
  </si>
  <si>
    <t>Schatting van de duurzaamheid van een businesspark</t>
  </si>
  <si>
    <t>GEGEVENS TE ONTCIJFEREN DOOR HET BUSINESSPARK</t>
  </si>
  <si>
    <t>Gerealiseerd</t>
  </si>
  <si>
    <t>ACTIE</t>
  </si>
  <si>
    <t xml:space="preserve">Actie </t>
  </si>
  <si>
    <t>Omschrijving</t>
  </si>
  <si>
    <t>Informatiebronnen</t>
  </si>
  <si>
    <t>Bronnen - informatie - details</t>
  </si>
  <si>
    <t>Realisatie</t>
  </si>
  <si>
    <t>Coördinaten bedrijventerrein</t>
  </si>
  <si>
    <t>Toenmalig bereikt indicatorniveau</t>
  </si>
  <si>
    <t>Onderaards gebied met wetenschappelijke waarde</t>
  </si>
  <si>
    <t>Verplaatsingswijze en afstand voor woon-werkverkeer en totale hoeveelheid bedrijfsvoertuigen</t>
  </si>
  <si>
    <t>Werknemer 1</t>
  </si>
  <si>
    <t>GEGEVENSVERWERKING EN RESULTATEN</t>
  </si>
  <si>
    <t>Professionelen</t>
  </si>
  <si>
    <t>Brandstoffen</t>
  </si>
  <si>
    <t>Liter</t>
  </si>
  <si>
    <t>Totale km per jaar</t>
  </si>
  <si>
    <t>Totalen</t>
  </si>
  <si>
    <t>Verbranding</t>
  </si>
  <si>
    <t>Verbruik (kWh)</t>
  </si>
  <si>
    <t>Kosten</t>
  </si>
  <si>
    <t>Totalen (€)</t>
  </si>
  <si>
    <t>Allen</t>
  </si>
  <si>
    <t>Wagen</t>
  </si>
  <si>
    <t>Alle brandstoffen</t>
  </si>
  <si>
    <t>Wagen LPG</t>
  </si>
  <si>
    <t>Samenrijden</t>
  </si>
  <si>
    <t>(alle brandstoffen)</t>
  </si>
  <si>
    <t>Motoren</t>
  </si>
  <si>
    <t>(Benzine)</t>
  </si>
  <si>
    <t>(Electrische)</t>
  </si>
  <si>
    <t>Fiets/Te voet</t>
  </si>
  <si>
    <t>(geen)</t>
  </si>
  <si>
    <t>Indicatoren</t>
  </si>
  <si>
    <t>reëel of berekend</t>
  </si>
  <si>
    <t>per werknemer</t>
  </si>
  <si>
    <t>/werk</t>
  </si>
  <si>
    <t>per werkeenheid</t>
  </si>
  <si>
    <t>/eenheid</t>
  </si>
  <si>
    <t>per omzet</t>
  </si>
  <si>
    <t>Niveau van duurzaamheid van de onderneming</t>
  </si>
  <si>
    <t>Criteriumrooster (te definiëren door de gebruiker)</t>
  </si>
  <si>
    <t>Doelstelling DD van mobiliteit</t>
  </si>
  <si>
    <t>Simulatie resultaat</t>
  </si>
  <si>
    <t>Rijdt alleen per wagen/motor</t>
  </si>
  <si>
    <t>Rijdt samen</t>
  </si>
  <si>
    <t>Neemt het openbaar vervoer</t>
  </si>
  <si>
    <t>Gaat met de fiets/te voet</t>
  </si>
  <si>
    <t>het totaal dient gelijk te zijn aan 100%</t>
  </si>
  <si>
    <t>Voorgesteld aandeel bij verstek</t>
  </si>
  <si>
    <t>Gedeelte werknemers alleen in wagen</t>
  </si>
  <si>
    <t>Gedeelte werknemers die samenrijden</t>
  </si>
  <si>
    <t>Gedeelte werknemers via trein, tram, bus</t>
  </si>
  <si>
    <t>Gedeelte werknemers te voet/met de fiets</t>
  </si>
  <si>
    <t>Gemiddelde Vlaanderen (ter info)</t>
  </si>
  <si>
    <t>Informatie fiscaliteit : 
* http://minfin.fgov.be/portail2/fr/themes/transport/vehicles-use.htm
* http://www.carpool.be/rwl/particulieren/fiscaliteit/index.html
* UCM (frais de déplacement et interventions au 1er février 2010) :
http://www.ucm.be/C1256C0D003C8BF5/_/38FB657B7E5F58D7C1256F42002B2FE7/$file/Les_frais_de_deplacement%202010.pdf?OpenElement</t>
  </si>
  <si>
    <t>Calculator van taxistop : www.carpool.be/rwl/particulieren/voordelen/bereken.htm</t>
  </si>
  <si>
    <t>Lage hagen (lopende m)</t>
  </si>
  <si>
    <t>Gemengde hagen (lopende m)</t>
  </si>
  <si>
    <t>Bomenrij (knotwilg) (lopende m)</t>
  </si>
  <si>
    <t>Hoogstamaanplanting (m²)</t>
  </si>
  <si>
    <t>Beboste oppervlakte (m²)</t>
  </si>
  <si>
    <t>Andere sierplanten (m²)</t>
  </si>
  <si>
    <t>Benaderde verhouding inlandse beplanting</t>
  </si>
  <si>
    <t>Fysieke barrières</t>
  </si>
  <si>
    <r>
      <t xml:space="preserve">Drop down menu van de verschillende evaluatieroosters </t>
    </r>
    <r>
      <rPr>
        <b/>
        <sz val="16"/>
        <color theme="5"/>
        <rFont val="Calibri"/>
        <family val="2"/>
      </rPr>
      <t>(TE VERBERGEN)</t>
    </r>
  </si>
  <si>
    <t>Voorlopige vragenlijst</t>
  </si>
  <si>
    <t>Binaire keuze beschermde zone</t>
  </si>
  <si>
    <t>Waarden</t>
  </si>
  <si>
    <t>Aard van het beheer van groene ruimten</t>
  </si>
  <si>
    <t>Aard van het beheer van omliggende gebieden</t>
  </si>
  <si>
    <t>Binaire keuze</t>
  </si>
  <si>
    <t>Inventaris</t>
  </si>
  <si>
    <t>Samenwerking</t>
  </si>
  <si>
    <t>Binaire keuze erkende gebieden</t>
  </si>
  <si>
    <t>Binaire keuze afwezigheid/aanwezigheid</t>
  </si>
  <si>
    <r>
      <t>Ambitieniveau van de verschillende parameters (TE VERBERGEN</t>
    </r>
    <r>
      <rPr>
        <b/>
        <sz val="16"/>
        <color theme="5"/>
        <rFont val="Calibri"/>
        <family val="2"/>
      </rPr>
      <t>)</t>
    </r>
  </si>
  <si>
    <t>Ambitieniveau voor de erkende zones</t>
  </si>
  <si>
    <t>Ondergrens</t>
  </si>
  <si>
    <t>Beperkingen en niveaus van vertrek</t>
  </si>
  <si>
    <t>Tenminste 1 erkende zone op de site</t>
  </si>
  <si>
    <t>Afwezigheid van erkende zone</t>
  </si>
  <si>
    <t>Tenminste 1 erkende zone binnen een straal van 100m van de site</t>
  </si>
  <si>
    <t>Advies DNF: keuze van de site in strijd met de wetgeving</t>
  </si>
  <si>
    <t>Nabijheid</t>
  </si>
  <si>
    <t>Ambitieniveau voor de biotopen</t>
  </si>
  <si>
    <t>Totaal gewogen oppervlakte van de verschillende biotopen</t>
  </si>
  <si>
    <t>Niveaus</t>
  </si>
  <si>
    <t>Ambitieniveau voor het ecologisch beheer en onderhoud</t>
  </si>
  <si>
    <t>Punten voorbehouden aan het beheer (van 0 tot 6)</t>
  </si>
  <si>
    <t>Ambitieniveau voor milieuverontreiniging</t>
  </si>
  <si>
    <t>Staat van verontreiniging</t>
  </si>
  <si>
    <t>Beperkingen</t>
  </si>
  <si>
    <t>Geen inventaris gerealiseerd</t>
  </si>
  <si>
    <t>Inventaris gerealiseerd maar geen vervuiling geïdentificeerd</t>
  </si>
  <si>
    <t>Inventaris gerealiseerd en minstens 1 vervuiling geïdentificeerd</t>
  </si>
  <si>
    <t>Er dient een inventaris gerealiseerd om te kunnen evolueren voorbij niveau 2</t>
  </si>
  <si>
    <t>Geen ristrictie</t>
  </si>
  <si>
    <t>Beheer van milieuverontreiniging(en) dient gerealiseerd alvorens naar een hoger niveau te gaan</t>
  </si>
  <si>
    <t>Ambitieniveau voor groenvoorzieningen</t>
  </si>
  <si>
    <t>Aantal gerealiseerde groenvoorzieningen</t>
  </si>
  <si>
    <t>4 en meer</t>
  </si>
  <si>
    <t>Ambitieniveau voor samenwerking en sensibilisering</t>
  </si>
  <si>
    <t>Aantal acties van de ondernemingen</t>
  </si>
  <si>
    <t>Globaal ambitieniveau volgens de beperkingen</t>
  </si>
  <si>
    <t>Indien geen enkele inventaris werd uitgevoerd</t>
  </si>
  <si>
    <t>Geen enkele beperking</t>
  </si>
  <si>
    <t>Indien er 1 overlast aanwezig is</t>
  </si>
  <si>
    <r>
      <t xml:space="preserve">Gelijkwaardigheid van biotopen op "biodiversiteitsoppervlakten" </t>
    </r>
    <r>
      <rPr>
        <b/>
        <sz val="16"/>
        <color theme="5"/>
        <rFont val="Calibri"/>
        <family val="2"/>
      </rPr>
      <t>(TE VERBERGEN)</t>
    </r>
  </si>
  <si>
    <t>Gewijkwaardigheid op "biodiversiteitsoppervlakten" (SB)</t>
  </si>
  <si>
    <t>Gelijkwaardigheidscoëfficiënt</t>
  </si>
  <si>
    <t>Groene ruimte</t>
  </si>
  <si>
    <t>Laag uitgesneden haag</t>
  </si>
  <si>
    <t>Gedeelde haag</t>
  </si>
  <si>
    <t>Vrijstaande haag</t>
  </si>
  <si>
    <t>Hoog uitgesneden haag</t>
  </si>
  <si>
    <t>Uitgelijnde bomenrij</t>
  </si>
  <si>
    <t>Uitgelijnde bomenrij van geknotte bomen</t>
  </si>
  <si>
    <t>Vrijstaande boom of struik</t>
  </si>
  <si>
    <t xml:space="preserve">Hoogstam boomgaard </t>
  </si>
  <si>
    <t>Bebost oppervlak</t>
  </si>
  <si>
    <t>Andere verfraaide massieven</t>
  </si>
  <si>
    <t>Bloemrijke weide</t>
  </si>
  <si>
    <t>Stromende waterlopen</t>
  </si>
  <si>
    <t>Tijdelijk overstroomd gebied</t>
  </si>
  <si>
    <t>Kleine lineaire biotopen (muur van droge stenen)</t>
  </si>
  <si>
    <t>Kleine plaatselijke biotopen (nest, dode boom, takken,…)</t>
  </si>
  <si>
    <t xml:space="preserve">1 m² groene ruimte = 1 m² SB </t>
  </si>
  <si>
    <t xml:space="preserve">1 m laag uitgesneden haag = 2 m² SB </t>
  </si>
  <si>
    <t>1 m gedeelde haag = 3 m² SB</t>
  </si>
  <si>
    <t>1 m vrijstaande haag  = 4 m² SB</t>
  </si>
  <si>
    <t>1 m hoog uitgesneden haag = 4 m² SB</t>
  </si>
  <si>
    <t>1 m uitgelijnde bomenrij = 2 m² SB</t>
  </si>
  <si>
    <t>1 m uitgelijnde bomenrij van geknotte bomen = 6 m² SB</t>
  </si>
  <si>
    <t>1 boom = 4 m² SB</t>
  </si>
  <si>
    <t>1 m² boomgaard = 6 m² SB</t>
  </si>
  <si>
    <t>1 m² bebost gebied = 4 m² SB</t>
  </si>
  <si>
    <t>1 m² verfraaid massief = 2 m² SB</t>
  </si>
  <si>
    <t>1 m² bloemenweide = 6 m² SB</t>
  </si>
  <si>
    <t>Stilstaand water - dijken begroeid</t>
  </si>
  <si>
    <t>Stilstaand water - betonnen dijken</t>
  </si>
  <si>
    <t>1 m² stilstaand water = 14 m² SB</t>
  </si>
  <si>
    <t>1 m² stilstaand water = 1 m² SB</t>
  </si>
  <si>
    <t>1 m² stromend water = 4 m² SB</t>
  </si>
  <si>
    <t>1 m² overstroomd gebied = 10 m² SB</t>
  </si>
  <si>
    <t xml:space="preserve">1 m muur =  3 m² SB </t>
  </si>
  <si>
    <t>1 nest = 4 m² SB</t>
  </si>
  <si>
    <r>
      <t xml:space="preserve">Automatische berekening van de indicator </t>
    </r>
    <r>
      <rPr>
        <b/>
        <sz val="10"/>
        <color theme="5"/>
        <rFont val="Calibri"/>
        <family val="2"/>
      </rPr>
      <t>(TE VERBERGEN)</t>
    </r>
  </si>
  <si>
    <t>tussenliggende berekening</t>
  </si>
  <si>
    <t>Eindberekening van de punten</t>
  </si>
  <si>
    <t xml:space="preserve">Reële oppervlakte in m² </t>
  </si>
  <si>
    <t>Oppervlakte in SB equivalent</t>
  </si>
  <si>
    <t>Aantal biotopen</t>
  </si>
  <si>
    <t>Beta coëfficiënt</t>
  </si>
  <si>
    <t>I3 totaal :</t>
  </si>
  <si>
    <t xml:space="preserve">Som der proporties : </t>
  </si>
  <si>
    <t xml:space="preserve">Som der punten (begrepen tussen 0 en 4) : </t>
  </si>
  <si>
    <t xml:space="preserve">Som van de 2 parameters : </t>
  </si>
  <si>
    <t>Beperking</t>
  </si>
  <si>
    <t>Ambitieniveau</t>
  </si>
  <si>
    <t>Indicator 1 en 2</t>
  </si>
  <si>
    <t xml:space="preserve">   MODULE ENERGIE</t>
  </si>
  <si>
    <t>CIJFERS</t>
  </si>
  <si>
    <t>Eenheid</t>
  </si>
  <si>
    <t>Aangekochte niet-groene elektriciteit</t>
  </si>
  <si>
    <t>Aangekochte groene elektriciteit</t>
  </si>
  <si>
    <t>Elektriciteit – jaarlijks verbruik van de onderneming</t>
  </si>
  <si>
    <t>PV-installatie met een aparte netwerkverbinding</t>
  </si>
  <si>
    <t>PV-installatie met terugdraaibare meter</t>
  </si>
  <si>
    <t>Hydro-elektrische energie</t>
  </si>
  <si>
    <t>Windenergie</t>
  </si>
  <si>
    <r>
      <t xml:space="preserve">Brandstoffen – jaarlijks verbruik van de onderneming </t>
    </r>
    <r>
      <rPr>
        <i/>
        <sz val="10"/>
        <color theme="0"/>
        <rFont val="Arial"/>
        <family val="2"/>
      </rPr>
      <t>(processen/verwarming/transport op het bedrijfsterrein)</t>
    </r>
  </si>
  <si>
    <t>Aardgas</t>
  </si>
  <si>
    <t>Biogas</t>
  </si>
  <si>
    <t>Butaangas</t>
  </si>
  <si>
    <t>Propaangas</t>
  </si>
  <si>
    <t>LPG</t>
  </si>
  <si>
    <t>Benzine</t>
  </si>
  <si>
    <t>Lichte brandstof</t>
  </si>
  <si>
    <t>Halfzware brandstof</t>
  </si>
  <si>
    <t>Zware brandstof</t>
  </si>
  <si>
    <t>Biobrandstof</t>
  </si>
  <si>
    <t>GASSEN</t>
  </si>
  <si>
    <t>VLOEIBARE STOFFEN</t>
  </si>
  <si>
    <t>VASTE STOFFEN</t>
  </si>
  <si>
    <t>Hout – hardhouten 0 % vochtigheid</t>
  </si>
  <si>
    <t>Hout – coniferen 0 % vochtigheid</t>
  </si>
  <si>
    <t>Hout openlucht gedroogd 20 % vochtigheid</t>
  </si>
  <si>
    <t>Hout 30 % vochtigheid</t>
  </si>
  <si>
    <t>Hout 40 % vochtigheid</t>
  </si>
  <si>
    <t>Hout 50 % vochtigheid</t>
  </si>
  <si>
    <t>Hout vers gezaagd 70 % vochtigheid</t>
  </si>
  <si>
    <r>
      <t>Warmteuitwisseling van het bedrijf op jaarbasis (naar of van een naburig bedrijf of derde partij</t>
    </r>
    <r>
      <rPr>
        <i/>
        <sz val="10"/>
        <color theme="0"/>
        <rFont val="Arial"/>
        <family val="2"/>
      </rPr>
      <t>)</t>
    </r>
  </si>
  <si>
    <t>BINNENKOMENDE warmteuitwisseling</t>
  </si>
  <si>
    <t>UITGAANDE warmteuitwisseling</t>
  </si>
  <si>
    <t xml:space="preserve">Warmtekrachtkoppeling derden </t>
  </si>
  <si>
    <t>Globaal ambitieniveau</t>
  </si>
  <si>
    <t xml:space="preserve">   MODULE WATER</t>
  </si>
  <si>
    <t>m³/jaar</t>
  </si>
  <si>
    <r>
      <t>Wat is het jaarlijks verbruik van</t>
    </r>
    <r>
      <rPr>
        <b/>
        <sz val="11"/>
        <color rgb="FF000000"/>
        <rFont val="Arial"/>
        <family val="2"/>
      </rPr>
      <t xml:space="preserve"> leidingwater</t>
    </r>
    <r>
      <rPr>
        <sz val="11"/>
        <color indexed="8"/>
        <rFont val="Arial"/>
        <family val="2"/>
      </rPr>
      <t xml:space="preserve"> (m³/jaar) ?</t>
    </r>
  </si>
  <si>
    <r>
      <t>Wordt het regenwater afgevoerd naar oppervlaktewaters of naar de riolering? Kies ja of neen</t>
    </r>
    <r>
      <rPr>
        <sz val="11"/>
        <color indexed="8"/>
        <rFont val="Arial"/>
        <family val="2"/>
      </rPr>
      <t>.</t>
    </r>
  </si>
  <si>
    <r>
      <t>Wat is het jaarlijks verbruik van</t>
    </r>
    <r>
      <rPr>
        <b/>
        <sz val="11"/>
        <color rgb="FF000000"/>
        <rFont val="Arial"/>
        <family val="2"/>
      </rPr>
      <t xml:space="preserve"> grondwater</t>
    </r>
    <r>
      <rPr>
        <sz val="11"/>
        <color indexed="8"/>
        <rFont val="Arial"/>
        <family val="2"/>
      </rPr>
      <t xml:space="preserve"> (m³/jaar) ?</t>
    </r>
  </si>
  <si>
    <r>
      <t xml:space="preserve">Wat is het jaarlijks verbruik van </t>
    </r>
    <r>
      <rPr>
        <b/>
        <sz val="11"/>
        <color rgb="FF000000"/>
        <rFont val="Arial"/>
        <family val="2"/>
      </rPr>
      <t>oppervlaktewater</t>
    </r>
    <r>
      <rPr>
        <sz val="11"/>
        <color rgb="FF000000"/>
        <rFont val="Arial"/>
        <family val="2"/>
      </rPr>
      <t xml:space="preserve"> </t>
    </r>
    <r>
      <rPr>
        <sz val="11"/>
        <color indexed="8"/>
        <rFont val="Arial"/>
        <family val="2"/>
      </rPr>
      <t>(m³/jaar) ?</t>
    </r>
  </si>
  <si>
    <r>
      <t>Wat is het jaarlijks verbruik van</t>
    </r>
    <r>
      <rPr>
        <b/>
        <sz val="11"/>
        <color rgb="FF000000"/>
        <rFont val="Arial"/>
        <family val="2"/>
      </rPr>
      <t xml:space="preserve"> regenwater</t>
    </r>
    <r>
      <rPr>
        <sz val="11"/>
        <color indexed="8"/>
        <rFont val="Arial"/>
        <family val="2"/>
      </rPr>
      <t xml:space="preserve"> (m³/jaar) ?</t>
    </r>
  </si>
  <si>
    <r>
      <t>Wat is het jaarlijks verbruik van</t>
    </r>
    <r>
      <rPr>
        <b/>
        <sz val="11"/>
        <color rgb="FF000000"/>
        <rFont val="Arial"/>
        <family val="2"/>
      </rPr>
      <t xml:space="preserve"> gezuiverd afvalwater</t>
    </r>
    <r>
      <rPr>
        <sz val="11"/>
        <color rgb="FF000000"/>
        <rFont val="Arial"/>
        <family val="2"/>
      </rPr>
      <t xml:space="preserve"> (</t>
    </r>
    <r>
      <rPr>
        <sz val="11"/>
        <color indexed="8"/>
        <rFont val="Arial"/>
        <family val="2"/>
      </rPr>
      <t>m³/jaar) ?</t>
    </r>
  </si>
  <si>
    <r>
      <t xml:space="preserve">Wat is het jaarlijkse volume aan </t>
    </r>
    <r>
      <rPr>
        <b/>
        <sz val="11"/>
        <color rgb="FF000000"/>
        <rFont val="Arial"/>
        <family val="2"/>
      </rPr>
      <t>productiewater</t>
    </r>
    <r>
      <rPr>
        <sz val="11"/>
        <color rgb="FF000000"/>
        <rFont val="Arial"/>
        <family val="2"/>
      </rPr>
      <t xml:space="preserve"> (restwater dat achterblijft in het product</t>
    </r>
    <r>
      <rPr>
        <sz val="11"/>
        <color indexed="8"/>
        <rFont val="Arial"/>
        <family val="2"/>
      </rPr>
      <t>)</t>
    </r>
    <r>
      <rPr>
        <b/>
        <sz val="11"/>
        <color indexed="8"/>
        <rFont val="Arial"/>
        <family val="2"/>
      </rPr>
      <t xml:space="preserve"> </t>
    </r>
    <r>
      <rPr>
        <sz val="11"/>
        <color indexed="8"/>
        <rFont val="Arial"/>
        <family val="2"/>
      </rPr>
      <t>(m³/jaar) ?</t>
    </r>
  </si>
  <si>
    <r>
      <t xml:space="preserve">Op welk type </t>
    </r>
    <r>
      <rPr>
        <b/>
        <sz val="11"/>
        <color rgb="FF000000"/>
        <rFont val="Arial"/>
        <family val="2"/>
      </rPr>
      <t>openbaar rioleringsnetwerk</t>
    </r>
    <r>
      <rPr>
        <sz val="11"/>
        <color rgb="FF000000"/>
        <rFont val="Arial"/>
        <family val="2"/>
      </rPr>
      <t xml:space="preserve"> is dit aangesloten? Kies </t>
    </r>
    <r>
      <rPr>
        <b/>
        <sz val="11"/>
        <color indexed="8"/>
        <rFont val="Arial"/>
        <family val="2"/>
      </rPr>
      <t>X</t>
    </r>
    <r>
      <rPr>
        <sz val="11"/>
        <color indexed="8"/>
        <rFont val="Arial"/>
        <family val="2"/>
      </rPr>
      <t xml:space="preserve"> voor « gemengd », </t>
    </r>
    <r>
      <rPr>
        <b/>
        <sz val="11"/>
        <color indexed="8"/>
        <rFont val="Arial"/>
        <family val="2"/>
      </rPr>
      <t xml:space="preserve"> Y</t>
    </r>
    <r>
      <rPr>
        <sz val="11"/>
        <color indexed="8"/>
        <rFont val="Arial"/>
        <family val="2"/>
      </rPr>
      <t xml:space="preserve"> voor « gedeeltelijk gescheiden » en </t>
    </r>
    <r>
      <rPr>
        <b/>
        <sz val="11"/>
        <color indexed="8"/>
        <rFont val="Arial"/>
        <family val="2"/>
      </rPr>
      <t xml:space="preserve"> Z</t>
    </r>
    <r>
      <rPr>
        <sz val="11"/>
        <color indexed="8"/>
        <rFont val="Arial"/>
        <family val="2"/>
      </rPr>
      <t xml:space="preserve"> voor « volledig gescheiden ».</t>
    </r>
  </si>
  <si>
    <r>
      <t xml:space="preserve">Is er een gescheiden </t>
    </r>
    <r>
      <rPr>
        <b/>
        <sz val="11"/>
        <color rgb="FF000000"/>
        <rFont val="Arial"/>
        <family val="2"/>
      </rPr>
      <t>rioleringssysteem</t>
    </r>
    <r>
      <rPr>
        <sz val="11"/>
        <color rgb="FF000000"/>
        <rFont val="Arial"/>
        <family val="2"/>
      </rPr>
      <t xml:space="preserve"> voor regenwater op het industrieterrein? Kies </t>
    </r>
    <r>
      <rPr>
        <b/>
        <sz val="11"/>
        <color rgb="FF000000"/>
        <rFont val="Arial"/>
        <family val="2"/>
      </rPr>
      <t>ja</t>
    </r>
    <r>
      <rPr>
        <sz val="11"/>
        <color rgb="FF000000"/>
        <rFont val="Arial"/>
        <family val="2"/>
      </rPr>
      <t xml:space="preserve"> of </t>
    </r>
    <r>
      <rPr>
        <b/>
        <sz val="11"/>
        <color rgb="FF000000"/>
        <rFont val="Arial"/>
        <family val="2"/>
      </rPr>
      <t>neen</t>
    </r>
    <r>
      <rPr>
        <b/>
        <sz val="11"/>
        <color indexed="8"/>
        <rFont val="Arial"/>
        <family val="2"/>
      </rPr>
      <t>.</t>
    </r>
  </si>
  <si>
    <t>Wat is het maximale debiet van afgifte van regenwater (l/s) ?</t>
  </si>
  <si>
    <t>Wat is het totaal volume aan regenwatertanks (m³) ?</t>
  </si>
  <si>
    <t>Wat is het totaal volume aan infiltratiebekkens (m³) ?</t>
  </si>
  <si>
    <t>Wat is het totaal volume aan buffertanks (m³) ?</t>
  </si>
  <si>
    <t>Wat is de totale oppervlakte aan groene daken (m²) ?</t>
  </si>
  <si>
    <t>Wat is de totale oppervlakte aan industrieterreinen (m²) ?</t>
  </si>
  <si>
    <r>
      <t xml:space="preserve">Wat is het totaal aan gebouwen op het industrieterrein </t>
    </r>
    <r>
      <rPr>
        <sz val="11"/>
        <color indexed="8"/>
        <rFont val="Arial"/>
        <family val="2"/>
      </rPr>
      <t>(m²) ?</t>
    </r>
  </si>
  <si>
    <r>
      <t>Wat is de totale overdekte vloeroppervlakte op het industrieterrein</t>
    </r>
    <r>
      <rPr>
        <sz val="11"/>
        <color indexed="8"/>
        <rFont val="Arial"/>
        <family val="2"/>
      </rPr>
      <t xml:space="preserve"> (m²) ?</t>
    </r>
  </si>
  <si>
    <r>
      <t>Wat is de totale oppervlakte van de doordringbare laag op het industrieterrein</t>
    </r>
    <r>
      <rPr>
        <sz val="11"/>
        <color indexed="8"/>
        <rFont val="Arial"/>
        <family val="2"/>
      </rPr>
      <t xml:space="preserve"> (m²) ?</t>
    </r>
  </si>
  <si>
    <r>
      <t xml:space="preserve">Wat is de totale deklaag </t>
    </r>
    <r>
      <rPr>
        <b/>
        <sz val="11"/>
        <color indexed="8"/>
        <rFont val="Arial"/>
        <family val="2"/>
      </rPr>
      <t>(daken + vloeren) aangesloten op een reservoir voor hergebruik</t>
    </r>
    <r>
      <rPr>
        <sz val="11"/>
        <color indexed="8"/>
        <rFont val="Arial"/>
        <family val="2"/>
      </rPr>
      <t xml:space="preserve"> (m²) ?</t>
    </r>
  </si>
  <si>
    <r>
      <t>Wat is de totale deklaag (daken + vloeren) aangesloten op een infiltratieapparaat</t>
    </r>
    <r>
      <rPr>
        <sz val="11"/>
        <color indexed="8"/>
        <rFont val="Arial"/>
        <family val="2"/>
      </rPr>
      <t xml:space="preserve"> (m²) ?</t>
    </r>
  </si>
  <si>
    <r>
      <t xml:space="preserve">Wat is de totale deklaag </t>
    </r>
    <r>
      <rPr>
        <b/>
        <sz val="11"/>
        <color indexed="8"/>
        <rFont val="Arial"/>
        <family val="2"/>
      </rPr>
      <t xml:space="preserve">(daken + vloeren)  die afvloeit naar oppervlaktewater </t>
    </r>
    <r>
      <rPr>
        <sz val="11"/>
        <color indexed="8"/>
        <rFont val="Arial"/>
        <family val="2"/>
      </rPr>
      <t xml:space="preserve"> (m²) ?</t>
    </r>
  </si>
  <si>
    <r>
      <t>Wat is de totale deklaag</t>
    </r>
    <r>
      <rPr>
        <b/>
        <sz val="11"/>
        <color indexed="8"/>
        <rFont val="Arial"/>
        <family val="2"/>
      </rPr>
      <t xml:space="preserve"> (daken + vloeren) die afvloeit naar het rioleringsnetwerk</t>
    </r>
    <r>
      <rPr>
        <sz val="11"/>
        <color indexed="8"/>
        <rFont val="Arial"/>
        <family val="2"/>
      </rPr>
      <t xml:space="preserve"> (m²) ?</t>
    </r>
  </si>
  <si>
    <r>
      <t>Hoe wordt het buffervolume geleegd ? Kies constant in geval van debietregelaar of pomp, kies lineair in geval van platte of andere buizen</t>
    </r>
    <r>
      <rPr>
        <sz val="11"/>
        <color indexed="8"/>
        <rFont val="Arial"/>
        <family val="2"/>
      </rPr>
      <t xml:space="preserve">. </t>
    </r>
  </si>
  <si>
    <t>Welk percentage buitenoppervlakte wordt gebruikt voor stockage van goederen (% - cijfer tussen 0 en 1) ?</t>
  </si>
  <si>
    <t>Welk percentage buitenoppervlakte wordt gebruikt voor het laden en lossen (% - cijfer tussen 0 en 1) ?</t>
  </si>
  <si>
    <t>Welk percentage buitenoppervlakte wordt gebruikt als parking en weg voor vrachtwagens (% - cijfer tussen 0 en 1) ?</t>
  </si>
  <si>
    <t>Welk percentage buitenoppervlakte wordt gebruikt als parking en weg voor auto's (% - cijfer tussen 0 en 1) ?</t>
  </si>
  <si>
    <t>Wordt onbehandeld afvalwater geloosd op het oppervlak of in de bodem? Kies ja of neen.</t>
  </si>
  <si>
    <t>Welk percentage afvalwater wordt gereinigd op lokaal niveau (% - cijfer tussen 0 en 1) ?</t>
  </si>
  <si>
    <t>Welk percentage afvalwater wordt geloosd in de riolen (% - cijfer tussen 0 en 1) ?</t>
  </si>
  <si>
    <t>Welk percentage afvalwater wordt geloosd in de oppervlaktewateren (% - cijfer tussen 0 en 1) ?</t>
  </si>
  <si>
    <t>Welk percentage koelwater wordt geloosd in de riolen (% - cijfer tussen 0 et 1) ?</t>
  </si>
  <si>
    <t>VRAAGMODULE  OUTPUT MATERIALEN</t>
  </si>
  <si>
    <t xml:space="preserve"> in ton/jaar </t>
  </si>
  <si>
    <t>ton</t>
  </si>
  <si>
    <r>
      <t>Totale productie (hoeveelheid eindproducten bestemd voor verkoop</t>
    </r>
    <r>
      <rPr>
        <sz val="12"/>
        <color theme="0"/>
        <rFont val="Arial"/>
        <family val="2"/>
      </rPr>
      <t xml:space="preserve">) : </t>
    </r>
  </si>
  <si>
    <t>Hoeveelheid afvalmateriaal dat wordt verwijderd als gescheiden materiaal om te worden herbruikt door een andere onderneming</t>
  </si>
  <si>
    <t xml:space="preserve"> - klasse inerte materialen :</t>
  </si>
  <si>
    <t xml:space="preserve"> - klasse huishoudelijk afval :</t>
  </si>
  <si>
    <t xml:space="preserve"> - klasse gevaarlijk afval :</t>
  </si>
  <si>
    <r>
      <t>Hoeveelheid afvalmateriaal voor recyclage</t>
    </r>
    <r>
      <rPr>
        <sz val="12"/>
        <color theme="0"/>
        <rFont val="Arial"/>
        <family val="2"/>
      </rPr>
      <t xml:space="preserve"> </t>
    </r>
  </si>
  <si>
    <r>
      <t xml:space="preserve">Hoeveelheid afvalmateriaal voor </t>
    </r>
    <r>
      <rPr>
        <b/>
        <sz val="12"/>
        <color theme="0"/>
        <rFont val="Arial"/>
        <family val="2"/>
      </rPr>
      <t>downcycling</t>
    </r>
    <r>
      <rPr>
        <sz val="12"/>
        <color theme="0"/>
        <rFont val="Arial"/>
        <family val="2"/>
      </rPr>
      <t xml:space="preserve"> </t>
    </r>
  </si>
  <si>
    <t xml:space="preserve"> - klasse huidhoudelijk afval :</t>
  </si>
  <si>
    <t>Hoeveelheid groen afval (afval van groente, fruit, tuin) :</t>
  </si>
  <si>
    <t>Hoeveelheid afvalmateriaal gestuurd naar de afvoer of naar een verbrandingsinstallatie zonder warmterecuperatie</t>
  </si>
  <si>
    <t>Hoeveelheid afvalmateriaal gestuurd naar een verbrandingsinstallatie met warmterecuperatie</t>
  </si>
  <si>
    <t>Globaal ambitieniveau van de site</t>
  </si>
  <si>
    <r>
      <t xml:space="preserve">Wat is het aantal </t>
    </r>
    <r>
      <rPr>
        <b/>
        <sz val="11"/>
        <color rgb="FF000000"/>
        <rFont val="Arial"/>
        <family val="2"/>
      </rPr>
      <t>werknemers</t>
    </r>
    <r>
      <rPr>
        <sz val="11"/>
        <color rgb="FF000000"/>
        <rFont val="Arial"/>
        <family val="2"/>
      </rPr>
      <t xml:space="preserve"> in voltijdse equivalenten ?</t>
    </r>
  </si>
  <si>
    <t>Inhoud</t>
  </si>
  <si>
    <t>Personenwagen Diesel</t>
  </si>
  <si>
    <t>Personenwagen Benzine</t>
  </si>
  <si>
    <t>Personenwagen LPG</t>
  </si>
  <si>
    <t>Motorfietsen</t>
  </si>
  <si>
    <t>Vliegtuig korte afstand (&lt;1000 km)</t>
  </si>
  <si>
    <t>Vliegtuig lange afanstand (&gt;1000 km)</t>
  </si>
  <si>
    <t>fiets/te voet</t>
  </si>
  <si>
    <t>Fiets/te voet</t>
  </si>
  <si>
    <t>Woon-werk verplaatsingen</t>
  </si>
  <si>
    <t>Motorfiets</t>
  </si>
  <si>
    <t>Professionele verplaatsingen</t>
  </si>
  <si>
    <r>
      <t>Wat is het jaarlijks verbruik van grijs water</t>
    </r>
    <r>
      <rPr>
        <sz val="11"/>
        <color indexed="8"/>
        <rFont val="Arial"/>
        <family val="2"/>
      </rPr>
      <t xml:space="preserve"> (m³/jaar) ?</t>
    </r>
  </si>
  <si>
    <t>Materialen</t>
  </si>
  <si>
    <t>Mobiliteit</t>
  </si>
  <si>
    <t>Biodiversiteit</t>
  </si>
  <si>
    <t>Water</t>
  </si>
  <si>
    <t>Afval</t>
  </si>
  <si>
    <t>zwaar</t>
  </si>
  <si>
    <t>licht</t>
  </si>
  <si>
    <t>sandwich</t>
  </si>
  <si>
    <t>beton</t>
  </si>
  <si>
    <t>cellenbeton</t>
  </si>
  <si>
    <t>te scoren</t>
  </si>
  <si>
    <t>keramisch</t>
  </si>
  <si>
    <t>Zware betonelementen</t>
  </si>
  <si>
    <t>Zware elementen in cellenbeton</t>
  </si>
  <si>
    <t>Zware elementen in keramisch materiaal</t>
  </si>
  <si>
    <t>elementen andere materialen</t>
  </si>
  <si>
    <t>minerale wol</t>
  </si>
  <si>
    <t>Neen</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</si>
</sst>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0.00\ &quot;€&quot;;\-#,##0.00\ &quot;€&quot;"/>
    <numFmt numFmtId="165" formatCode="0.0"/>
    <numFmt numFmtId="166" formatCode="_-* #,##0.00[$€]_-;\-* #,##0.00[$€]_-;_-* &quot;-&quot;??[$€]_-;_-@_-"/>
    <numFmt numFmtId="167" formatCode="_-* #,##0.00&quot; F&quot;_-;\-* #,##0.00&quot; F&quot;_-;_-* &quot;-&quot;??&quot; F&quot;_-;_-@_-"/>
    <numFmt numFmtId="168" formatCode="#,##0.00\ &quot;€&quot;"/>
    <numFmt numFmtId="169" formatCode="0.0000"/>
    <numFmt numFmtId="170" formatCode="#,##0.000\ &quot;€&quot;"/>
    <numFmt numFmtId="171" formatCode="#,##0.0000\ &quot;€&quot;"/>
    <numFmt numFmtId="172" formatCode="#,##0.00&quot;€&quot;;[Red]\-#,##0.00&quot;€&quot;"/>
    <numFmt numFmtId="173" formatCode="_-* #,##0.00\ [$€-80C]_-;\-* #,##0.00\ [$€-80C]_-;_-* &quot;-&quot;??\ [$€-80C]_-;_-@_-"/>
    <numFmt numFmtId="174" formatCode="0.000"/>
    <numFmt numFmtId="175" formatCode="&quot;Niveau &quot;0"/>
    <numFmt numFmtId="176" formatCode="0.00\ &quot;m²&quot;"/>
    <numFmt numFmtId="177" formatCode="0.00\ &quot;m&quot;"/>
    <numFmt numFmtId="178" formatCode="0\ &quot;m²&quot;"/>
    <numFmt numFmtId="179" formatCode="0\ &quot;m&quot;"/>
  </numFmts>
  <fonts count="151">
    <font>
      <sz val="11"/>
      <color theme="1"/>
      <name val="Calibri"/>
      <family val="2"/>
      <scheme val="minor"/>
    </font>
    <font>
      <sz val="10"/>
      <name val="Calibri"/>
      <family val="2"/>
    </font>
    <font>
      <sz val="10"/>
      <color indexed="8"/>
      <name val="Calibri"/>
      <family val="2"/>
    </font>
    <font>
      <b/>
      <sz val="11"/>
      <name val="Calibri"/>
      <family val="2"/>
    </font>
    <font>
      <sz val="16"/>
      <name val="Calibri"/>
      <family val="2"/>
    </font>
    <font>
      <b/>
      <sz val="16"/>
      <color theme="5"/>
      <name val="Calibri"/>
      <family val="2"/>
    </font>
    <font>
      <sz val="9"/>
      <name val="Calibri"/>
      <family val="2"/>
    </font>
    <font>
      <sz val="7"/>
      <name val="Calibri"/>
      <family val="2"/>
    </font>
    <font>
      <b/>
      <sz val="10"/>
      <name val="Calibri"/>
      <family val="2"/>
    </font>
    <font>
      <sz val="10"/>
      <color rgb="FFFF0000"/>
      <name val="Calibri"/>
      <family val="2"/>
    </font>
    <font>
      <sz val="8"/>
      <color rgb="FFFF0000"/>
      <name val="Calibri"/>
      <family val="2"/>
    </font>
    <font>
      <b/>
      <sz val="10"/>
      <color theme="5"/>
      <name val="Calibri"/>
      <family val="2"/>
    </font>
    <font>
      <b/>
      <sz val="8"/>
      <color indexed="81"/>
      <name val="Tahoma"/>
      <family val="2"/>
    </font>
    <font>
      <sz val="8"/>
      <color indexed="81"/>
      <name val="Tahoma"/>
      <family val="2"/>
    </font>
    <font>
      <sz val="11"/>
      <color rgb="FFFF0000"/>
      <name val="Calibri"/>
      <family val="2"/>
      <scheme val="minor"/>
    </font>
    <font>
      <sz val="10"/>
      <name val="Arial"/>
      <family val="2"/>
    </font>
    <font>
      <sz val="10"/>
      <color rgb="FFFF0000"/>
      <name val="Arial"/>
      <family val="2"/>
    </font>
    <font>
      <b/>
      <sz val="10"/>
      <color rgb="FF000000"/>
      <name val="Arial"/>
      <family val="2"/>
    </font>
    <font>
      <sz val="10"/>
      <color indexed="8"/>
      <name val="Arial"/>
      <family val="2"/>
    </font>
    <font>
      <b/>
      <sz val="14"/>
      <name val="Arial"/>
      <family val="2"/>
    </font>
    <font>
      <sz val="10"/>
      <color indexed="10"/>
      <name val="Arial"/>
      <family val="2"/>
    </font>
    <font>
      <sz val="10"/>
      <color rgb="FF000000"/>
      <name val="Arial"/>
      <family val="2"/>
    </font>
    <font>
      <b/>
      <i/>
      <sz val="10"/>
      <name val="Arial"/>
      <family val="2"/>
    </font>
    <font>
      <b/>
      <i/>
      <sz val="10"/>
      <color rgb="FF000000"/>
      <name val="Arial"/>
      <family val="2"/>
    </font>
    <font>
      <i/>
      <sz val="10"/>
      <color indexed="8"/>
      <name val="Arial"/>
      <family val="2"/>
    </font>
    <font>
      <b/>
      <sz val="10"/>
      <name val="Arial"/>
      <family val="2"/>
    </font>
    <font>
      <b/>
      <i/>
      <sz val="10"/>
      <color rgb="FFFF0000"/>
      <name val="Arial"/>
      <family val="2"/>
    </font>
    <font>
      <b/>
      <sz val="12"/>
      <color rgb="FF000000"/>
      <name val="Arial"/>
      <family val="2"/>
    </font>
    <font>
      <b/>
      <sz val="14"/>
      <color rgb="FFFF0000"/>
      <name val="Arial"/>
      <family val="2"/>
    </font>
    <font>
      <b/>
      <sz val="12"/>
      <name val="Arial"/>
      <family val="2"/>
    </font>
    <font>
      <b/>
      <i/>
      <sz val="11"/>
      <color rgb="FF000000"/>
      <name val="Arial"/>
      <family val="2"/>
    </font>
    <font>
      <b/>
      <i/>
      <sz val="12"/>
      <name val="Arial"/>
      <family val="2"/>
    </font>
    <font>
      <sz val="9"/>
      <name val="Geneva"/>
    </font>
    <font>
      <b/>
      <sz val="9"/>
      <name val="Geneva"/>
    </font>
    <font>
      <b/>
      <sz val="11"/>
      <name val="Geneva"/>
    </font>
    <font>
      <sz val="20"/>
      <name val="Geneva"/>
    </font>
    <font>
      <u/>
      <sz val="9"/>
      <color indexed="12"/>
      <name val="Geneva"/>
    </font>
    <font>
      <b/>
      <vertAlign val="subscript"/>
      <sz val="9"/>
      <name val="Geneva"/>
    </font>
    <font>
      <sz val="11"/>
      <name val="Arial"/>
      <family val="2"/>
    </font>
    <font>
      <sz val="8"/>
      <name val="Arial"/>
      <family val="2"/>
    </font>
    <font>
      <sz val="9"/>
      <color indexed="11"/>
      <name val="Geneva"/>
    </font>
    <font>
      <sz val="9"/>
      <color indexed="12"/>
      <name val="Geneva"/>
    </font>
    <font>
      <sz val="9"/>
      <color indexed="10"/>
      <name val="Geneva"/>
    </font>
    <font>
      <b/>
      <sz val="10"/>
      <color indexed="12"/>
      <name val="Geneva"/>
    </font>
    <font>
      <i/>
      <sz val="9"/>
      <name val="Geneva"/>
    </font>
    <font>
      <b/>
      <sz val="16"/>
      <name val="Geneva"/>
    </font>
    <font>
      <sz val="9"/>
      <color indexed="17"/>
      <name val="Geneva"/>
    </font>
    <font>
      <sz val="9"/>
      <name val="Arial"/>
      <family val="2"/>
    </font>
    <font>
      <sz val="22"/>
      <name val="Geneva"/>
    </font>
    <font>
      <b/>
      <sz val="12"/>
      <name val="Geneva"/>
    </font>
    <font>
      <b/>
      <sz val="10"/>
      <name val="Geneva"/>
    </font>
    <font>
      <b/>
      <sz val="8"/>
      <name val="Arial"/>
      <family val="2"/>
    </font>
    <font>
      <u/>
      <sz val="8"/>
      <color indexed="12"/>
      <name val="Arial"/>
      <family val="2"/>
    </font>
    <font>
      <b/>
      <sz val="8"/>
      <color indexed="10"/>
      <name val="Arial"/>
      <family val="2"/>
    </font>
    <font>
      <u/>
      <sz val="8"/>
      <color indexed="12"/>
      <name val="Geneva"/>
    </font>
    <font>
      <b/>
      <sz val="12"/>
      <color indexed="10"/>
      <name val="Geneva"/>
    </font>
    <font>
      <sz val="11"/>
      <color theme="1"/>
      <name val="Calibri"/>
      <family val="2"/>
      <scheme val="minor"/>
    </font>
    <font>
      <sz val="9"/>
      <color rgb="FFFF0000"/>
      <name val="Geneva"/>
    </font>
    <font>
      <b/>
      <sz val="12"/>
      <color rgb="FFFFFFFF"/>
      <name val="Arial Narrow"/>
      <family val="2"/>
    </font>
    <font>
      <b/>
      <sz val="11"/>
      <color rgb="FFFF0000"/>
      <name val="Arial"/>
      <family val="2"/>
    </font>
    <font>
      <b/>
      <sz val="11"/>
      <name val="Arial"/>
      <family val="2"/>
    </font>
    <font>
      <sz val="11"/>
      <color rgb="FFFF0000"/>
      <name val="Arial"/>
      <family val="2"/>
    </font>
    <font>
      <b/>
      <i/>
      <sz val="11"/>
      <name val="Arial"/>
      <family val="2"/>
    </font>
    <font>
      <b/>
      <i/>
      <sz val="12"/>
      <name val="Times New Roman"/>
      <family val="1"/>
    </font>
    <font>
      <b/>
      <i/>
      <vertAlign val="subscript"/>
      <sz val="12"/>
      <name val="Times New Roman"/>
      <family val="1"/>
    </font>
    <font>
      <sz val="12"/>
      <name val="Times New Roman"/>
      <family val="1"/>
    </font>
    <font>
      <vertAlign val="subscript"/>
      <sz val="12"/>
      <name val="Times New Roman"/>
      <family val="1"/>
    </font>
    <font>
      <sz val="11"/>
      <color rgb="FF000000"/>
      <name val="Arial"/>
      <family val="2"/>
    </font>
    <font>
      <b/>
      <sz val="11"/>
      <color indexed="8"/>
      <name val="Arial"/>
      <family val="2"/>
    </font>
    <font>
      <sz val="11"/>
      <color indexed="8"/>
      <name val="Arial"/>
      <family val="2"/>
    </font>
    <font>
      <b/>
      <sz val="11"/>
      <color theme="1"/>
      <name val="Calibri"/>
      <family val="2"/>
      <scheme val="minor"/>
    </font>
    <font>
      <b/>
      <sz val="14"/>
      <color rgb="FFFF0000"/>
      <name val="Calibri"/>
      <family val="2"/>
      <scheme val="minor"/>
    </font>
    <font>
      <b/>
      <i/>
      <sz val="11"/>
      <color theme="1"/>
      <name val="Calibri"/>
      <family val="2"/>
      <scheme val="minor"/>
    </font>
    <font>
      <b/>
      <sz val="22"/>
      <color rgb="FFFF0000"/>
      <name val="Calibri"/>
      <family val="2"/>
      <scheme val="minor"/>
    </font>
    <font>
      <b/>
      <sz val="9"/>
      <color theme="1"/>
      <name val="Calibri"/>
      <family val="2"/>
      <scheme val="minor"/>
    </font>
    <font>
      <i/>
      <sz val="8"/>
      <color theme="1"/>
      <name val="Calibri"/>
      <family val="2"/>
      <scheme val="minor"/>
    </font>
    <font>
      <i/>
      <sz val="10"/>
      <color theme="1"/>
      <name val="Arial Narrow"/>
      <family val="2"/>
    </font>
    <font>
      <i/>
      <sz val="10"/>
      <color theme="1"/>
      <name val="Wingdings"/>
      <charset val="2"/>
    </font>
    <font>
      <b/>
      <sz val="11"/>
      <name val="Calibri"/>
      <family val="2"/>
      <scheme val="minor"/>
    </font>
    <font>
      <sz val="10"/>
      <color rgb="FFFF0000"/>
      <name val="Calibri"/>
      <family val="2"/>
      <scheme val="minor"/>
    </font>
    <font>
      <sz val="10"/>
      <color theme="1"/>
      <name val="Arial Narrow"/>
      <family val="2"/>
    </font>
    <font>
      <i/>
      <sz val="11"/>
      <color theme="1"/>
      <name val="Calibri"/>
      <family val="2"/>
      <scheme val="minor"/>
    </font>
    <font>
      <b/>
      <i/>
      <sz val="9"/>
      <color theme="1"/>
      <name val="Calibri"/>
      <family val="2"/>
      <scheme val="minor"/>
    </font>
    <font>
      <i/>
      <sz val="10"/>
      <color theme="1"/>
      <name val="Calibri"/>
      <family val="2"/>
      <scheme val="minor"/>
    </font>
    <font>
      <sz val="10"/>
      <color theme="1"/>
      <name val="Calibri"/>
      <family val="2"/>
      <scheme val="minor"/>
    </font>
    <font>
      <b/>
      <sz val="18"/>
      <color theme="1"/>
      <name val="Wingdings"/>
      <charset val="2"/>
    </font>
    <font>
      <i/>
      <sz val="10"/>
      <name val="Calibri"/>
      <family val="2"/>
      <scheme val="minor"/>
    </font>
    <font>
      <b/>
      <i/>
      <sz val="10"/>
      <name val="Calibri"/>
      <family val="2"/>
      <scheme val="minor"/>
    </font>
    <font>
      <i/>
      <sz val="11"/>
      <color rgb="FFFF0000"/>
      <name val="Calibri"/>
      <family val="2"/>
      <scheme val="minor"/>
    </font>
    <font>
      <sz val="11"/>
      <color rgb="FF00B050"/>
      <name val="Calibri"/>
      <family val="2"/>
      <scheme val="minor"/>
    </font>
    <font>
      <b/>
      <sz val="10"/>
      <color theme="4"/>
      <name val="Calibri"/>
      <family val="2"/>
      <scheme val="minor"/>
    </font>
    <font>
      <b/>
      <i/>
      <sz val="11"/>
      <color rgb="FFFF0000"/>
      <name val="Calibri"/>
      <family val="2"/>
      <scheme val="minor"/>
    </font>
    <font>
      <i/>
      <sz val="9"/>
      <color theme="1"/>
      <name val="Calibri"/>
      <family val="2"/>
      <scheme val="minor"/>
    </font>
    <font>
      <sz val="10"/>
      <name val="Calibri"/>
      <family val="2"/>
      <scheme val="minor"/>
    </font>
    <font>
      <b/>
      <i/>
      <sz val="8"/>
      <color theme="1"/>
      <name val="Calibri"/>
      <family val="2"/>
      <scheme val="minor"/>
    </font>
    <font>
      <sz val="11"/>
      <color rgb="FFFFC000"/>
      <name val="Calibri"/>
      <family val="2"/>
      <scheme val="minor"/>
    </font>
    <font>
      <b/>
      <i/>
      <sz val="10"/>
      <color rgb="FFFF0000"/>
      <name val="Calibri"/>
      <family val="2"/>
      <scheme val="minor"/>
    </font>
    <font>
      <sz val="8"/>
      <color theme="1"/>
      <name val="Calibri"/>
      <family val="2"/>
      <scheme val="minor"/>
    </font>
    <font>
      <sz val="11"/>
      <color rgb="FF92D050"/>
      <name val="Calibri"/>
      <family val="2"/>
      <scheme val="minor"/>
    </font>
    <font>
      <i/>
      <sz val="8"/>
      <name val="Calibri"/>
      <family val="2"/>
      <scheme val="minor"/>
    </font>
    <font>
      <i/>
      <sz val="10"/>
      <color rgb="FFFF0000"/>
      <name val="Calibri"/>
      <family val="2"/>
      <scheme val="minor"/>
    </font>
    <font>
      <i/>
      <sz val="8"/>
      <color theme="2"/>
      <name val="Calibri"/>
      <family val="2"/>
      <scheme val="minor"/>
    </font>
    <font>
      <sz val="11"/>
      <name val="Calibri"/>
      <family val="2"/>
      <scheme val="minor"/>
    </font>
    <font>
      <sz val="11"/>
      <color theme="2"/>
      <name val="Calibri"/>
      <family val="2"/>
      <scheme val="minor"/>
    </font>
    <font>
      <i/>
      <sz val="10"/>
      <color rgb="FF00B050"/>
      <name val="Calibri"/>
      <family val="2"/>
      <scheme val="minor"/>
    </font>
    <font>
      <b/>
      <sz val="48"/>
      <color rgb="FF00B050"/>
      <name val="Calibri"/>
      <family val="2"/>
      <scheme val="minor"/>
    </font>
    <font>
      <b/>
      <sz val="11"/>
      <color rgb="FF00B050"/>
      <name val="Calibri"/>
      <family val="2"/>
      <scheme val="minor"/>
    </font>
    <font>
      <b/>
      <sz val="48"/>
      <color rgb="FFFF0000"/>
      <name val="Calibri"/>
      <family val="2"/>
      <scheme val="minor"/>
    </font>
    <font>
      <b/>
      <i/>
      <sz val="10"/>
      <color theme="2"/>
      <name val="Calibri"/>
      <family val="2"/>
      <scheme val="minor"/>
    </font>
    <font>
      <b/>
      <sz val="11"/>
      <color rgb="FFFF0000"/>
      <name val="Calibri"/>
      <family val="2"/>
      <scheme val="minor"/>
    </font>
    <font>
      <b/>
      <sz val="11"/>
      <color indexed="8"/>
      <name val="Calibri"/>
      <family val="2"/>
    </font>
    <font>
      <sz val="11"/>
      <color theme="9"/>
      <name val="Calibri"/>
      <family val="2"/>
      <scheme val="minor"/>
    </font>
    <font>
      <b/>
      <sz val="20"/>
      <color rgb="FFFF0000"/>
      <name val="Calibri"/>
      <family val="2"/>
      <scheme val="minor"/>
    </font>
    <font>
      <sz val="9"/>
      <color theme="1"/>
      <name val="Calibri"/>
      <family val="2"/>
      <scheme val="minor"/>
    </font>
    <font>
      <sz val="11"/>
      <color indexed="55"/>
      <name val="Calibri"/>
      <family val="2"/>
    </font>
    <font>
      <sz val="11"/>
      <color indexed="55"/>
      <name val="Arial"/>
      <family val="2"/>
    </font>
    <font>
      <b/>
      <sz val="11"/>
      <color theme="0" tint="-0.249977111117893"/>
      <name val="Calibri"/>
      <family val="2"/>
    </font>
    <font>
      <sz val="11"/>
      <color theme="0" tint="-0.249977111117893"/>
      <name val="Calibri"/>
      <family val="2"/>
      <scheme val="minor"/>
    </font>
    <font>
      <sz val="11"/>
      <color theme="0" tint="-0.249977111117893"/>
      <name val="Arial"/>
      <family val="2"/>
    </font>
    <font>
      <b/>
      <sz val="12"/>
      <color indexed="8"/>
      <name val="Calibri"/>
      <family val="2"/>
    </font>
    <font>
      <b/>
      <sz val="10"/>
      <name val="Arial Narrow"/>
      <family val="2"/>
    </font>
    <font>
      <sz val="11"/>
      <color theme="0" tint="-0.34998626667073579"/>
      <name val="Calibri"/>
      <family val="2"/>
      <scheme val="minor"/>
    </font>
    <font>
      <sz val="11"/>
      <name val="Calibri"/>
      <family val="2"/>
    </font>
    <font>
      <b/>
      <sz val="10"/>
      <color theme="0" tint="-0.34998626667073579"/>
      <name val="Arial Narrow"/>
      <family val="2"/>
    </font>
    <font>
      <sz val="11"/>
      <color theme="0"/>
      <name val="Calibri"/>
      <family val="2"/>
      <scheme val="minor"/>
    </font>
    <font>
      <b/>
      <sz val="14"/>
      <color theme="0"/>
      <name val="Calibri"/>
      <family val="2"/>
      <scheme val="minor"/>
    </font>
    <font>
      <b/>
      <sz val="14"/>
      <color indexed="10"/>
      <name val="Geneva"/>
    </font>
    <font>
      <sz val="8"/>
      <name val="Geneva"/>
    </font>
    <font>
      <u/>
      <sz val="11"/>
      <color theme="11"/>
      <name val="Calibri"/>
      <family val="2"/>
      <scheme val="minor"/>
    </font>
    <font>
      <b/>
      <sz val="14"/>
      <color theme="0"/>
      <name val="Arial"/>
      <family val="2"/>
    </font>
    <font>
      <b/>
      <sz val="12"/>
      <color theme="0"/>
      <name val="Arial"/>
      <family val="2"/>
    </font>
    <font>
      <b/>
      <i/>
      <sz val="10"/>
      <color theme="0"/>
      <name val="Arial"/>
      <family val="2"/>
    </font>
    <font>
      <b/>
      <sz val="9"/>
      <color theme="0"/>
      <name val="Arial"/>
      <family val="2"/>
    </font>
    <font>
      <b/>
      <sz val="10"/>
      <color theme="0"/>
      <name val="Arial"/>
      <family val="2"/>
    </font>
    <font>
      <b/>
      <sz val="11"/>
      <color theme="0"/>
      <name val="Arial"/>
      <family val="2"/>
    </font>
    <font>
      <sz val="10"/>
      <color theme="0"/>
      <name val="Arial"/>
      <family val="2"/>
    </font>
    <font>
      <sz val="14"/>
      <color theme="0"/>
      <name val="Arial"/>
      <family val="2"/>
    </font>
    <font>
      <sz val="12"/>
      <color theme="0"/>
      <name val="Arial"/>
      <family val="2"/>
    </font>
    <font>
      <i/>
      <sz val="10"/>
      <color theme="0"/>
      <name val="Arial"/>
      <family val="2"/>
    </font>
    <font>
      <sz val="11"/>
      <color theme="0"/>
      <name val="Arial"/>
      <family val="2"/>
    </font>
    <font>
      <b/>
      <sz val="12"/>
      <color theme="0"/>
      <name val="Calibri"/>
      <family val="2"/>
    </font>
    <font>
      <b/>
      <sz val="11"/>
      <color theme="1"/>
      <name val="Arial"/>
      <family val="2"/>
    </font>
    <font>
      <sz val="22"/>
      <color theme="0"/>
      <name val="Geneva"/>
    </font>
    <font>
      <b/>
      <sz val="16"/>
      <color theme="0"/>
      <name val="Geneva"/>
    </font>
    <font>
      <sz val="9"/>
      <color theme="0"/>
      <name val="Geneva"/>
    </font>
    <font>
      <b/>
      <sz val="9"/>
      <color theme="0"/>
      <name val="Geneva"/>
    </font>
    <font>
      <u/>
      <sz val="11"/>
      <color theme="0"/>
      <name val="Arial"/>
      <family val="2"/>
    </font>
    <font>
      <b/>
      <u/>
      <sz val="11"/>
      <color theme="0"/>
      <name val="Arial"/>
      <family val="2"/>
    </font>
    <font>
      <b/>
      <sz val="9"/>
      <color theme="1"/>
      <name val="Arial"/>
      <family val="2"/>
    </font>
    <font>
      <sz val="8"/>
      <color rgb="FFFF0000"/>
      <name val="Arial"/>
      <family val="2"/>
    </font>
    <font>
      <b/>
      <sz val="11"/>
      <color rgb="FF000000"/>
      <name val="Arial"/>
      <family val="2"/>
    </font>
  </fonts>
  <fills count="45">
    <fill>
      <patternFill patternType="none"/>
    </fill>
    <fill>
      <patternFill patternType="gray125"/>
    </fill>
    <fill>
      <patternFill patternType="solid">
        <fgColor theme="0" tint="-0.14999847407452621"/>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indexed="51"/>
        <bgColor indexed="64"/>
      </patternFill>
    </fill>
    <fill>
      <patternFill patternType="solid">
        <fgColor indexed="43"/>
        <bgColor indexed="64"/>
      </patternFill>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50"/>
        <bgColor indexed="64"/>
      </patternFill>
    </fill>
    <fill>
      <patternFill patternType="solid">
        <fgColor indexed="34"/>
        <bgColor indexed="64"/>
      </patternFill>
    </fill>
    <fill>
      <patternFill patternType="solid">
        <fgColor indexed="9"/>
        <bgColor indexed="64"/>
      </patternFill>
    </fill>
    <fill>
      <patternFill patternType="solid">
        <fgColor indexed="23"/>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tint="0.79998168889431442"/>
        <bgColor indexed="49"/>
      </patternFill>
    </fill>
    <fill>
      <patternFill patternType="solid">
        <fgColor theme="4" tint="0.79998168889431442"/>
        <bgColor indexed="31"/>
      </patternFill>
    </fill>
    <fill>
      <patternFill patternType="solid">
        <fgColor theme="4" tint="0.79998168889431442"/>
        <bgColor indexed="22"/>
      </patternFill>
    </fill>
    <fill>
      <patternFill patternType="solid">
        <fgColor theme="0" tint="-0.249977111117893"/>
        <bgColor indexed="64"/>
      </patternFill>
    </fill>
    <fill>
      <patternFill patternType="solid">
        <fgColor rgb="FFFFC000"/>
        <bgColor indexed="64"/>
      </patternFill>
    </fill>
    <fill>
      <patternFill patternType="solid">
        <fgColor theme="6" tint="0.79998168889431442"/>
        <bgColor indexed="64"/>
      </patternFill>
    </fill>
    <fill>
      <patternFill patternType="solid">
        <fgColor theme="2"/>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0"/>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indexed="10"/>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rgb="FF00B050"/>
        <bgColor indexed="64"/>
      </patternFill>
    </fill>
    <fill>
      <patternFill patternType="solid">
        <fgColor rgb="FFFAFA94"/>
        <bgColor indexed="64"/>
      </patternFill>
    </fill>
  </fills>
  <borders count="105">
    <border>
      <left/>
      <right/>
      <top/>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right style="medium">
        <color auto="1"/>
      </right>
      <top style="medium">
        <color auto="1"/>
      </top>
      <bottom/>
      <diagonal/>
    </border>
    <border>
      <left style="medium">
        <color auto="1"/>
      </left>
      <right/>
      <top style="medium">
        <color auto="1"/>
      </top>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top/>
      <bottom style="medium">
        <color auto="1"/>
      </bottom>
      <diagonal/>
    </border>
    <border>
      <left/>
      <right/>
      <top style="medium">
        <color auto="1"/>
      </top>
      <bottom/>
      <diagonal/>
    </border>
    <border>
      <left style="thin">
        <color auto="1"/>
      </left>
      <right style="medium">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bottom style="thin">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right style="thin">
        <color auto="1"/>
      </right>
      <top style="medium">
        <color auto="1"/>
      </top>
      <bottom style="thin">
        <color auto="1"/>
      </bottom>
      <diagonal/>
    </border>
    <border>
      <left/>
      <right style="medium">
        <color auto="1"/>
      </right>
      <top/>
      <bottom/>
      <diagonal/>
    </border>
    <border>
      <left style="medium">
        <color auto="1"/>
      </left>
      <right/>
      <top/>
      <bottom/>
      <diagonal/>
    </border>
    <border>
      <left style="medium">
        <color auto="1"/>
      </left>
      <right/>
      <top/>
      <bottom style="medium">
        <color auto="1"/>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style="medium">
        <color auto="1"/>
      </left>
      <right style="thin">
        <color auto="1"/>
      </right>
      <top/>
      <bottom/>
      <diagonal/>
    </border>
    <border>
      <left/>
      <right style="medium">
        <color auto="1"/>
      </right>
      <top style="medium">
        <color auto="1"/>
      </top>
      <bottom style="thin">
        <color auto="1"/>
      </bottom>
      <diagonal/>
    </border>
    <border>
      <left style="medium">
        <color auto="1"/>
      </left>
      <right style="thin">
        <color auto="1"/>
      </right>
      <top style="medium">
        <color auto="1"/>
      </top>
      <bottom/>
      <diagonal/>
    </border>
    <border>
      <left/>
      <right style="medium">
        <color auto="1"/>
      </right>
      <top style="thin">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medium">
        <color auto="1"/>
      </top>
      <bottom style="thin">
        <color auto="1"/>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right style="thin">
        <color auto="1"/>
      </right>
      <top style="medium">
        <color auto="1"/>
      </top>
      <bottom/>
      <diagonal/>
    </border>
    <border>
      <left/>
      <right/>
      <top style="hair">
        <color indexed="8"/>
      </top>
      <bottom style="hair">
        <color indexed="8"/>
      </bottom>
      <diagonal/>
    </border>
    <border>
      <left/>
      <right style="hair">
        <color indexed="8"/>
      </right>
      <top/>
      <bottom style="hair">
        <color indexed="8"/>
      </bottom>
      <diagonal/>
    </border>
    <border>
      <left/>
      <right/>
      <top/>
      <bottom style="hair">
        <color indexed="8"/>
      </bottom>
      <diagonal/>
    </border>
    <border>
      <left style="hair">
        <color indexed="8"/>
      </left>
      <right/>
      <top/>
      <bottom style="hair">
        <color indexed="8"/>
      </bottom>
      <diagonal/>
    </border>
    <border>
      <left/>
      <right style="hair">
        <color indexed="8"/>
      </right>
      <top/>
      <bottom/>
      <diagonal/>
    </border>
    <border>
      <left style="hair">
        <color indexed="8"/>
      </left>
      <right/>
      <top/>
      <bottom/>
      <diagonal/>
    </border>
    <border>
      <left/>
      <right style="hair">
        <color indexed="8"/>
      </right>
      <top style="hair">
        <color indexed="8"/>
      </top>
      <bottom/>
      <diagonal/>
    </border>
    <border>
      <left/>
      <right/>
      <top style="hair">
        <color indexed="8"/>
      </top>
      <bottom/>
      <diagonal/>
    </border>
    <border>
      <left style="hair">
        <color indexed="8"/>
      </left>
      <right/>
      <top style="hair">
        <color indexed="8"/>
      </top>
      <bottom/>
      <diagonal/>
    </border>
    <border>
      <left/>
      <right/>
      <top style="hair">
        <color auto="1"/>
      </top>
      <bottom style="hair">
        <color auto="1"/>
      </bottom>
      <diagonal/>
    </border>
    <border>
      <left/>
      <right/>
      <top style="hair">
        <color auto="1"/>
      </top>
      <bottom style="thin">
        <color auto="1"/>
      </bottom>
      <diagonal/>
    </border>
    <border>
      <left style="hair">
        <color auto="1"/>
      </left>
      <right/>
      <top style="hair">
        <color auto="1"/>
      </top>
      <bottom style="thin">
        <color auto="1"/>
      </bottom>
      <diagonal/>
    </border>
    <border>
      <left style="hair">
        <color auto="1"/>
      </left>
      <right/>
      <top style="hair">
        <color auto="1"/>
      </top>
      <bottom style="hair">
        <color auto="1"/>
      </bottom>
      <diagonal/>
    </border>
    <border>
      <left/>
      <right style="hair">
        <color auto="1"/>
      </right>
      <top/>
      <bottom style="hair">
        <color auto="1"/>
      </bottom>
      <diagonal/>
    </border>
    <border>
      <left/>
      <right/>
      <top/>
      <bottom style="hair">
        <color auto="1"/>
      </bottom>
      <diagonal/>
    </border>
    <border>
      <left style="hair">
        <color auto="1"/>
      </left>
      <right/>
      <top/>
      <bottom style="hair">
        <color auto="1"/>
      </bottom>
      <diagonal/>
    </border>
    <border>
      <left/>
      <right style="hair">
        <color auto="1"/>
      </right>
      <top style="thin">
        <color auto="1"/>
      </top>
      <bottom style="hair">
        <color auto="1"/>
      </bottom>
      <diagonal/>
    </border>
    <border>
      <left/>
      <right/>
      <top style="thin">
        <color auto="1"/>
      </top>
      <bottom style="hair">
        <color auto="1"/>
      </bottom>
      <diagonal/>
    </border>
    <border>
      <left style="hair">
        <color auto="1"/>
      </left>
      <right/>
      <top style="thin">
        <color auto="1"/>
      </top>
      <bottom style="hair">
        <color auto="1"/>
      </bottom>
      <diagonal/>
    </border>
    <border>
      <left style="hair">
        <color auto="1"/>
      </left>
      <right/>
      <top/>
      <bottom/>
      <diagonal/>
    </border>
    <border>
      <left/>
      <right/>
      <top style="hair">
        <color auto="1"/>
      </top>
      <bottom/>
      <diagonal/>
    </border>
    <border>
      <left style="hair">
        <color auto="1"/>
      </left>
      <right/>
      <top style="hair">
        <color auto="1"/>
      </top>
      <bottom/>
      <diagonal/>
    </border>
    <border>
      <left/>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medium">
        <color auto="1"/>
      </left>
      <right style="medium">
        <color auto="1"/>
      </right>
      <top/>
      <bottom/>
      <diagonal/>
    </border>
    <border>
      <left/>
      <right style="medium">
        <color auto="1"/>
      </right>
      <top/>
      <bottom style="medium">
        <color auto="1"/>
      </bottom>
      <diagonal/>
    </border>
    <border>
      <left style="medium">
        <color auto="1"/>
      </left>
      <right/>
      <top style="medium">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top style="thin">
        <color auto="1"/>
      </top>
      <bottom/>
      <diagonal/>
    </border>
    <border>
      <left style="medium">
        <color auto="1"/>
      </left>
      <right style="medium">
        <color auto="1"/>
      </right>
      <top style="medium">
        <color auto="1"/>
      </top>
      <bottom/>
      <diagonal/>
    </border>
    <border>
      <left style="thin">
        <color auto="1"/>
      </left>
      <right style="medium">
        <color auto="1"/>
      </right>
      <top/>
      <bottom/>
      <diagonal/>
    </border>
    <border>
      <left/>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style="medium">
        <color auto="1"/>
      </left>
      <right/>
      <top style="thin">
        <color auto="1"/>
      </top>
      <bottom style="thin">
        <color auto="1"/>
      </bottom>
      <diagonal/>
    </border>
    <border>
      <left/>
      <right style="thin">
        <color auto="1"/>
      </right>
      <top/>
      <bottom/>
      <diagonal/>
    </border>
    <border>
      <left/>
      <right style="medium">
        <color auto="1"/>
      </right>
      <top/>
      <bottom style="thin">
        <color auto="1"/>
      </bottom>
      <diagonal/>
    </border>
    <border>
      <left style="medium">
        <color auto="1"/>
      </left>
      <right/>
      <top/>
      <bottom style="thin">
        <color auto="1"/>
      </bottom>
      <diagonal/>
    </border>
    <border>
      <left/>
      <right/>
      <top style="medium">
        <color auto="1"/>
      </top>
      <bottom style="thin">
        <color auto="1"/>
      </bottom>
      <diagonal/>
    </border>
    <border>
      <left style="thin">
        <color auto="1"/>
      </left>
      <right/>
      <top/>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style="medium">
        <color auto="1"/>
      </top>
      <bottom/>
      <diagonal/>
    </border>
    <border>
      <left/>
      <right style="thin">
        <color indexed="55"/>
      </right>
      <top/>
      <bottom/>
      <diagonal/>
    </border>
    <border>
      <left/>
      <right style="medium">
        <color theme="0" tint="-0.34998626667073579"/>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style="thin">
        <color auto="1"/>
      </right>
      <top/>
      <bottom/>
      <diagonal/>
    </border>
  </borders>
  <cellStyleXfs count="13">
    <xf numFmtId="0" fontId="0" fillId="0" borderId="0"/>
    <xf numFmtId="0" fontId="1" fillId="0" borderId="0"/>
    <xf numFmtId="0" fontId="15" fillId="0" borderId="0"/>
    <xf numFmtId="0" fontId="32" fillId="0" borderId="0"/>
    <xf numFmtId="0" fontId="36" fillId="0" borderId="0" applyNumberFormat="0" applyFill="0" applyBorder="0" applyAlignment="0" applyProtection="0">
      <alignment vertical="top"/>
      <protection locked="0"/>
    </xf>
    <xf numFmtId="166" fontId="32" fillId="0" borderId="0" applyFont="0" applyFill="0" applyBorder="0" applyAlignment="0" applyProtection="0"/>
    <xf numFmtId="167" fontId="32" fillId="0" borderId="0" applyFont="0" applyFill="0" applyBorder="0" applyAlignment="0" applyProtection="0"/>
    <xf numFmtId="9" fontId="32" fillId="0" borderId="0" applyFont="0" applyFill="0" applyBorder="0" applyAlignment="0" applyProtection="0"/>
    <xf numFmtId="3" fontId="32" fillId="0" borderId="0" applyFont="0" applyFill="0" applyBorder="0" applyAlignment="0" applyProtection="0"/>
    <xf numFmtId="9" fontId="56" fillId="0" borderId="0" applyFon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cellStyleXfs>
  <cellXfs count="1608">
    <xf numFmtId="0" fontId="0" fillId="0" borderId="0" xfId="0"/>
    <xf numFmtId="0" fontId="1" fillId="0" borderId="0" xfId="1"/>
    <xf numFmtId="0" fontId="1" fillId="0" borderId="0" xfId="1" applyFont="1"/>
    <xf numFmtId="0" fontId="1" fillId="0" borderId="0" xfId="1" applyAlignment="1">
      <alignment horizontal="center" vertical="center"/>
    </xf>
    <xf numFmtId="0" fontId="1" fillId="0" borderId="1" xfId="1" applyFont="1" applyBorder="1" applyAlignment="1">
      <alignment horizontal="center" vertical="center"/>
    </xf>
    <xf numFmtId="0" fontId="2" fillId="0" borderId="9" xfId="1" applyFont="1" applyBorder="1" applyAlignment="1">
      <alignment horizontal="left" vertical="center"/>
    </xf>
    <xf numFmtId="0" fontId="1" fillId="0" borderId="3" xfId="1" applyFont="1" applyBorder="1" applyAlignment="1">
      <alignment horizontal="center" vertical="center"/>
    </xf>
    <xf numFmtId="0" fontId="1" fillId="0" borderId="3" xfId="1" applyFont="1" applyBorder="1" applyAlignment="1">
      <alignment horizontal="center"/>
    </xf>
    <xf numFmtId="0" fontId="3" fillId="2" borderId="11" xfId="1" applyFont="1" applyFill="1" applyBorder="1" applyAlignment="1">
      <alignment horizontal="center" vertical="center" wrapText="1"/>
    </xf>
    <xf numFmtId="0" fontId="3" fillId="2" borderId="12" xfId="1" applyFont="1" applyFill="1" applyBorder="1" applyAlignment="1">
      <alignment horizontal="center" vertical="center" wrapText="1"/>
    </xf>
    <xf numFmtId="0" fontId="4" fillId="0" borderId="0" xfId="1" applyFont="1" applyFill="1" applyBorder="1" applyAlignment="1">
      <alignment horizontal="center" vertical="center"/>
    </xf>
    <xf numFmtId="0" fontId="1" fillId="4" borderId="1" xfId="1" applyFill="1" applyBorder="1" applyAlignment="1">
      <alignment horizontal="center" vertical="center"/>
    </xf>
    <xf numFmtId="0" fontId="1" fillId="0" borderId="14" xfId="1" applyFont="1" applyBorder="1" applyAlignment="1">
      <alignment horizontal="left" vertical="center" wrapText="1"/>
    </xf>
    <xf numFmtId="0" fontId="1" fillId="0" borderId="2" xfId="1" applyBorder="1" applyAlignment="1">
      <alignment horizontal="center" vertical="center"/>
    </xf>
    <xf numFmtId="0" fontId="1" fillId="4" borderId="3" xfId="1" applyFill="1" applyBorder="1" applyAlignment="1">
      <alignment horizontal="center" vertical="center"/>
    </xf>
    <xf numFmtId="49" fontId="1" fillId="0" borderId="10" xfId="1" applyNumberFormat="1" applyFont="1" applyBorder="1" applyAlignment="1">
      <alignment horizontal="left" vertical="center" wrapText="1"/>
    </xf>
    <xf numFmtId="0" fontId="1" fillId="0" borderId="4" xfId="1" applyBorder="1" applyAlignment="1">
      <alignment horizontal="center" vertical="center"/>
    </xf>
    <xf numFmtId="0" fontId="1" fillId="4" borderId="11" xfId="1" applyFont="1" applyFill="1" applyBorder="1" applyAlignment="1">
      <alignment horizontal="center" vertical="center"/>
    </xf>
    <xf numFmtId="0" fontId="1" fillId="0" borderId="15" xfId="1" applyFont="1" applyBorder="1" applyAlignment="1">
      <alignment horizontal="left" vertical="center" wrapText="1"/>
    </xf>
    <xf numFmtId="0" fontId="1" fillId="0" borderId="13" xfId="1" applyBorder="1" applyAlignment="1">
      <alignment horizontal="center" vertical="center"/>
    </xf>
    <xf numFmtId="0" fontId="1" fillId="4" borderId="16" xfId="1" applyFont="1" applyFill="1" applyBorder="1" applyAlignment="1">
      <alignment horizontal="center" vertical="center"/>
    </xf>
    <xf numFmtId="0" fontId="1" fillId="0" borderId="17" xfId="1" applyFont="1" applyBorder="1" applyAlignment="1">
      <alignment horizontal="center" vertical="center" wrapText="1"/>
    </xf>
    <xf numFmtId="0" fontId="1" fillId="0" borderId="18" xfId="1" applyFont="1" applyBorder="1" applyAlignment="1">
      <alignment horizontal="center" vertical="center" wrapText="1"/>
    </xf>
    <xf numFmtId="49" fontId="1" fillId="0" borderId="9" xfId="1" applyNumberFormat="1" applyFont="1" applyBorder="1" applyAlignment="1">
      <alignment horizontal="center" vertical="center"/>
    </xf>
    <xf numFmtId="49" fontId="1" fillId="0" borderId="10" xfId="1" applyNumberFormat="1" applyFont="1" applyBorder="1" applyAlignment="1">
      <alignment horizontal="center" vertical="center"/>
    </xf>
    <xf numFmtId="0" fontId="1" fillId="4" borderId="5" xfId="1" applyFill="1" applyBorder="1" applyAlignment="1">
      <alignment horizontal="center" vertical="center"/>
    </xf>
    <xf numFmtId="49" fontId="1" fillId="0" borderId="22" xfId="1" applyNumberFormat="1" applyFont="1" applyBorder="1" applyAlignment="1">
      <alignment horizontal="center" vertical="center"/>
    </xf>
    <xf numFmtId="0" fontId="1" fillId="0" borderId="6" xfId="1" applyBorder="1" applyAlignment="1">
      <alignment horizontal="center" vertical="center"/>
    </xf>
    <xf numFmtId="0" fontId="6" fillId="4" borderId="16" xfId="1" applyFont="1" applyFill="1" applyBorder="1" applyAlignment="1">
      <alignment horizontal="left" vertical="center" wrapText="1"/>
    </xf>
    <xf numFmtId="49" fontId="6" fillId="0" borderId="9" xfId="1" applyNumberFormat="1" applyFont="1" applyBorder="1" applyAlignment="1">
      <alignment horizontal="center" vertical="center" wrapText="1"/>
    </xf>
    <xf numFmtId="0" fontId="6" fillId="4" borderId="5" xfId="1" applyFont="1" applyFill="1" applyBorder="1" applyAlignment="1">
      <alignment horizontal="left" vertical="center" wrapText="1"/>
    </xf>
    <xf numFmtId="49" fontId="6" fillId="0" borderId="10" xfId="1" applyNumberFormat="1" applyFont="1" applyBorder="1" applyAlignment="1">
      <alignment horizontal="center" vertical="center" wrapText="1"/>
    </xf>
    <xf numFmtId="49" fontId="6" fillId="0" borderId="22" xfId="1" applyNumberFormat="1" applyFont="1" applyBorder="1" applyAlignment="1">
      <alignment horizontal="center" vertical="center" wrapText="1"/>
    </xf>
    <xf numFmtId="0" fontId="1" fillId="4" borderId="19" xfId="1" applyFont="1" applyFill="1" applyBorder="1" applyAlignment="1">
      <alignment horizontal="center" vertical="center"/>
    </xf>
    <xf numFmtId="0" fontId="1" fillId="0" borderId="20" xfId="1" applyFont="1" applyBorder="1" applyAlignment="1">
      <alignment horizontal="center" vertical="center" wrapText="1"/>
    </xf>
    <xf numFmtId="0" fontId="1" fillId="0" borderId="21" xfId="1" applyFont="1" applyBorder="1" applyAlignment="1">
      <alignment horizontal="center" vertical="center" wrapText="1"/>
    </xf>
    <xf numFmtId="0" fontId="1" fillId="0" borderId="0" xfId="1" applyFill="1" applyBorder="1" applyAlignment="1">
      <alignment horizontal="center" vertical="center"/>
    </xf>
    <xf numFmtId="49" fontId="1" fillId="0" borderId="0" xfId="1" applyNumberFormat="1" applyFont="1" applyBorder="1" applyAlignment="1">
      <alignment horizontal="center" vertical="center"/>
    </xf>
    <xf numFmtId="0" fontId="1" fillId="4" borderId="26" xfId="1" applyFill="1" applyBorder="1" applyAlignment="1">
      <alignment horizontal="center" vertical="center"/>
    </xf>
    <xf numFmtId="49" fontId="1" fillId="0" borderId="27" xfId="1" applyNumberFormat="1" applyFont="1" applyBorder="1" applyAlignment="1">
      <alignment horizontal="center" vertical="center"/>
    </xf>
    <xf numFmtId="0" fontId="1" fillId="0" borderId="28" xfId="1" applyBorder="1" applyAlignment="1">
      <alignment horizontal="center" vertical="center"/>
    </xf>
    <xf numFmtId="0" fontId="7" fillId="0" borderId="0" xfId="1" applyFont="1" applyFill="1" applyBorder="1" applyAlignment="1">
      <alignment horizontal="left" vertical="center" wrapText="1"/>
    </xf>
    <xf numFmtId="49" fontId="6" fillId="0" borderId="0" xfId="1" applyNumberFormat="1" applyFont="1" applyBorder="1" applyAlignment="1">
      <alignment horizontal="center" vertical="center" wrapText="1"/>
    </xf>
    <xf numFmtId="0" fontId="6" fillId="4" borderId="16" xfId="1" applyFont="1" applyFill="1" applyBorder="1" applyAlignment="1">
      <alignment horizontal="center" vertical="center" wrapText="1"/>
    </xf>
    <xf numFmtId="0" fontId="6" fillId="4" borderId="5" xfId="1" applyFont="1" applyFill="1" applyBorder="1" applyAlignment="1">
      <alignment horizontal="center" vertical="center" wrapText="1"/>
    </xf>
    <xf numFmtId="0" fontId="1" fillId="4" borderId="19" xfId="1" applyFont="1" applyFill="1" applyBorder="1" applyAlignment="1">
      <alignment horizontal="center" vertical="center" wrapText="1"/>
    </xf>
    <xf numFmtId="49" fontId="1" fillId="0" borderId="29" xfId="1" applyNumberFormat="1" applyFont="1" applyFill="1" applyBorder="1"/>
    <xf numFmtId="49" fontId="1" fillId="0" borderId="30" xfId="1" applyNumberFormat="1" applyFont="1" applyFill="1" applyBorder="1"/>
    <xf numFmtId="49" fontId="3" fillId="2" borderId="31" xfId="1" applyNumberFormat="1" applyFont="1" applyFill="1" applyBorder="1"/>
    <xf numFmtId="0" fontId="1" fillId="0" borderId="1" xfId="1" applyBorder="1"/>
    <xf numFmtId="49" fontId="1" fillId="0" borderId="2" xfId="1" applyNumberFormat="1" applyFont="1" applyBorder="1"/>
    <xf numFmtId="0" fontId="1" fillId="0" borderId="3" xfId="1" applyBorder="1"/>
    <xf numFmtId="49" fontId="1" fillId="0" borderId="4" xfId="1" applyNumberFormat="1" applyFont="1" applyBorder="1"/>
    <xf numFmtId="0" fontId="3" fillId="2" borderId="11" xfId="1" applyFont="1" applyFill="1" applyBorder="1"/>
    <xf numFmtId="49" fontId="3" fillId="2" borderId="13" xfId="1" applyNumberFormat="1" applyFont="1" applyFill="1" applyBorder="1"/>
    <xf numFmtId="0" fontId="1" fillId="0" borderId="2" xfId="1" applyFont="1" applyBorder="1"/>
    <xf numFmtId="0" fontId="1" fillId="0" borderId="4" xfId="1" applyFont="1" applyBorder="1"/>
    <xf numFmtId="0" fontId="3" fillId="2" borderId="13" xfId="1" applyFont="1" applyFill="1" applyBorder="1"/>
    <xf numFmtId="0" fontId="1" fillId="0" borderId="29" xfId="1" applyFont="1" applyFill="1" applyBorder="1"/>
    <xf numFmtId="0" fontId="1" fillId="0" borderId="30" xfId="1" applyFont="1" applyBorder="1"/>
    <xf numFmtId="0" fontId="3" fillId="2" borderId="31" xfId="1" applyFont="1" applyFill="1" applyBorder="1"/>
    <xf numFmtId="0" fontId="1" fillId="0" borderId="29" xfId="1" applyFont="1" applyBorder="1"/>
    <xf numFmtId="9" fontId="1" fillId="0" borderId="29" xfId="1" applyNumberFormat="1" applyBorder="1" applyAlignment="1">
      <alignment horizontal="left"/>
    </xf>
    <xf numFmtId="9" fontId="1" fillId="0" borderId="30" xfId="1" applyNumberFormat="1" applyBorder="1" applyAlignment="1">
      <alignment horizontal="left"/>
    </xf>
    <xf numFmtId="49" fontId="1" fillId="0" borderId="2" xfId="1" applyNumberFormat="1" applyFont="1" applyBorder="1" applyAlignment="1">
      <alignment wrapText="1"/>
    </xf>
    <xf numFmtId="49" fontId="1" fillId="0" borderId="4" xfId="1" applyNumberFormat="1" applyFont="1" applyBorder="1" applyAlignment="1">
      <alignment wrapText="1"/>
    </xf>
    <xf numFmtId="49" fontId="3" fillId="2" borderId="13" xfId="1" applyNumberFormat="1" applyFont="1" applyFill="1" applyBorder="1" applyAlignment="1">
      <alignment wrapText="1"/>
    </xf>
    <xf numFmtId="0" fontId="1" fillId="0" borderId="0" xfId="1" applyProtection="1">
      <protection hidden="1"/>
    </xf>
    <xf numFmtId="0" fontId="1" fillId="0" borderId="0" xfId="1" applyFont="1" applyProtection="1">
      <protection hidden="1"/>
    </xf>
    <xf numFmtId="0" fontId="1" fillId="0" borderId="1" xfId="1" applyBorder="1" applyAlignment="1" applyProtection="1">
      <alignment horizontal="center" vertical="center"/>
      <protection hidden="1"/>
    </xf>
    <xf numFmtId="0" fontId="1" fillId="0" borderId="32" xfId="1" applyBorder="1" applyAlignment="1" applyProtection="1">
      <alignment horizontal="center" vertical="center"/>
      <protection hidden="1"/>
    </xf>
    <xf numFmtId="0" fontId="1" fillId="0" borderId="35" xfId="1" applyBorder="1"/>
    <xf numFmtId="0" fontId="1" fillId="0" borderId="0" xfId="1" applyBorder="1"/>
    <xf numFmtId="0" fontId="1" fillId="0" borderId="23" xfId="1" applyBorder="1" applyProtection="1">
      <protection hidden="1"/>
    </xf>
    <xf numFmtId="0" fontId="1" fillId="0" borderId="38" xfId="1" applyBorder="1" applyProtection="1">
      <protection hidden="1"/>
    </xf>
    <xf numFmtId="0" fontId="1" fillId="0" borderId="9" xfId="1" applyFont="1" applyFill="1" applyBorder="1" applyAlignment="1">
      <alignment vertical="center"/>
    </xf>
    <xf numFmtId="0" fontId="1" fillId="0" borderId="39" xfId="1" applyBorder="1" applyProtection="1">
      <protection hidden="1"/>
    </xf>
    <xf numFmtId="0" fontId="1" fillId="0" borderId="10" xfId="1" applyFont="1" applyBorder="1" applyAlignment="1">
      <alignment vertical="center"/>
    </xf>
    <xf numFmtId="0" fontId="1" fillId="0" borderId="41" xfId="1" applyBorder="1" applyProtection="1">
      <protection hidden="1"/>
    </xf>
    <xf numFmtId="0" fontId="1" fillId="0" borderId="12" xfId="1" applyFont="1" applyBorder="1" applyAlignment="1">
      <alignment vertical="center"/>
    </xf>
    <xf numFmtId="0" fontId="1" fillId="0" borderId="43" xfId="1" applyBorder="1" applyProtection="1">
      <protection hidden="1"/>
    </xf>
    <xf numFmtId="0" fontId="1" fillId="0" borderId="9" xfId="1" applyFont="1" applyBorder="1" applyAlignment="1">
      <alignment vertical="center"/>
    </xf>
    <xf numFmtId="0" fontId="1" fillId="0" borderId="23" xfId="1" applyBorder="1" applyAlignment="1" applyProtection="1">
      <alignment vertical="center"/>
      <protection hidden="1"/>
    </xf>
    <xf numFmtId="0" fontId="1" fillId="0" borderId="0" xfId="1" applyAlignment="1" applyProtection="1">
      <alignment vertical="center"/>
      <protection hidden="1"/>
    </xf>
    <xf numFmtId="0" fontId="1" fillId="0" borderId="38" xfId="1" applyBorder="1" applyAlignment="1" applyProtection="1">
      <alignment vertical="center"/>
      <protection hidden="1"/>
    </xf>
    <xf numFmtId="0" fontId="1" fillId="0" borderId="44" xfId="1" applyBorder="1" applyAlignment="1" applyProtection="1">
      <alignment vertical="center"/>
      <protection hidden="1"/>
    </xf>
    <xf numFmtId="0" fontId="1" fillId="0" borderId="41" xfId="1" applyBorder="1" applyAlignment="1" applyProtection="1">
      <alignment vertical="center"/>
      <protection hidden="1"/>
    </xf>
    <xf numFmtId="0" fontId="1" fillId="0" borderId="12" xfId="1" applyFont="1" applyBorder="1" applyAlignment="1">
      <alignment vertical="center" wrapText="1"/>
    </xf>
    <xf numFmtId="0" fontId="1" fillId="0" borderId="45" xfId="1" applyBorder="1" applyAlignment="1" applyProtection="1">
      <alignment vertical="center"/>
      <protection hidden="1"/>
    </xf>
    <xf numFmtId="0" fontId="1" fillId="0" borderId="0" xfId="1" applyFont="1" applyBorder="1"/>
    <xf numFmtId="0" fontId="1" fillId="0" borderId="19" xfId="1" applyBorder="1" applyAlignment="1" applyProtection="1">
      <alignment horizontal="center" vertical="center"/>
      <protection hidden="1"/>
    </xf>
    <xf numFmtId="0" fontId="1" fillId="0" borderId="33" xfId="1" applyFont="1" applyBorder="1" applyAlignment="1" applyProtection="1">
      <alignment horizontal="center" vertical="center"/>
      <protection hidden="1"/>
    </xf>
    <xf numFmtId="0" fontId="1" fillId="0" borderId="0" xfId="1" applyBorder="1" applyProtection="1">
      <protection hidden="1"/>
    </xf>
    <xf numFmtId="0" fontId="10" fillId="0" borderId="38" xfId="1" applyFont="1" applyBorder="1" applyAlignment="1">
      <alignment horizontal="right" vertical="center"/>
    </xf>
    <xf numFmtId="0" fontId="9" fillId="0" borderId="46" xfId="1" applyFont="1" applyBorder="1" applyAlignment="1">
      <alignment horizontal="left" vertical="center"/>
    </xf>
    <xf numFmtId="0" fontId="1" fillId="0" borderId="29" xfId="1" applyBorder="1" applyAlignment="1" applyProtection="1">
      <alignment horizontal="center" vertical="center"/>
      <protection hidden="1"/>
    </xf>
    <xf numFmtId="0" fontId="1" fillId="0" borderId="47" xfId="1" applyFont="1" applyBorder="1" applyAlignment="1">
      <alignment vertical="center" wrapText="1"/>
    </xf>
    <xf numFmtId="0" fontId="1" fillId="0" borderId="31" xfId="1" applyFont="1" applyBorder="1" applyAlignment="1" applyProtection="1">
      <alignment horizontal="center" vertical="center"/>
      <protection hidden="1"/>
    </xf>
    <xf numFmtId="0" fontId="1" fillId="0" borderId="0" xfId="1" applyBorder="1" applyAlignment="1" applyProtection="1">
      <alignment horizontal="center" vertical="center"/>
      <protection hidden="1"/>
    </xf>
    <xf numFmtId="0" fontId="7" fillId="0" borderId="0" xfId="1" applyFont="1" applyBorder="1" applyAlignment="1" applyProtection="1">
      <alignment horizontal="left" vertical="center" wrapText="1"/>
      <protection hidden="1"/>
    </xf>
    <xf numFmtId="0" fontId="1" fillId="0" borderId="34" xfId="1" applyFont="1" applyBorder="1" applyAlignment="1">
      <alignment vertical="center"/>
    </xf>
    <xf numFmtId="0" fontId="6" fillId="0" borderId="32" xfId="1" applyFont="1" applyBorder="1" applyAlignment="1" applyProtection="1">
      <alignment horizontal="center" vertical="center" wrapText="1"/>
      <protection hidden="1"/>
    </xf>
    <xf numFmtId="0" fontId="1" fillId="0" borderId="43" xfId="1" applyBorder="1" applyAlignment="1" applyProtection="1">
      <alignment vertical="center"/>
      <protection hidden="1"/>
    </xf>
    <xf numFmtId="0" fontId="1" fillId="0" borderId="39" xfId="1" applyBorder="1" applyAlignment="1" applyProtection="1">
      <alignment vertical="center"/>
      <protection hidden="1"/>
    </xf>
    <xf numFmtId="0" fontId="1" fillId="0" borderId="47" xfId="1" applyFont="1" applyBorder="1" applyAlignment="1">
      <alignment vertical="center"/>
    </xf>
    <xf numFmtId="0" fontId="1" fillId="0" borderId="32" xfId="1" applyFont="1" applyBorder="1" applyAlignment="1" applyProtection="1">
      <alignment horizontal="center" vertical="center"/>
      <protection hidden="1"/>
    </xf>
    <xf numFmtId="1" fontId="1" fillId="5" borderId="45" xfId="1" applyNumberFormat="1" applyFill="1" applyBorder="1" applyAlignment="1" applyProtection="1">
      <alignment vertical="center"/>
      <protection hidden="1"/>
    </xf>
    <xf numFmtId="165" fontId="1" fillId="0" borderId="45" xfId="1" applyNumberFormat="1" applyFill="1" applyBorder="1" applyAlignment="1" applyProtection="1">
      <alignment vertical="center"/>
      <protection hidden="1"/>
    </xf>
    <xf numFmtId="0" fontId="1" fillId="5" borderId="7" xfId="1" applyFont="1" applyFill="1" applyBorder="1" applyAlignment="1" applyProtection="1">
      <alignment horizontal="center" vertical="center"/>
      <protection hidden="1"/>
    </xf>
    <xf numFmtId="0" fontId="1" fillId="0" borderId="8" xfId="1" applyFill="1" applyBorder="1" applyAlignment="1" applyProtection="1">
      <alignment horizontal="center" vertical="center"/>
      <protection hidden="1"/>
    </xf>
    <xf numFmtId="0" fontId="1" fillId="0" borderId="35" xfId="1" applyFill="1" applyBorder="1" applyAlignment="1">
      <alignment vertical="center"/>
    </xf>
    <xf numFmtId="0" fontId="1" fillId="0" borderId="0" xfId="1" applyBorder="1" applyAlignment="1">
      <alignment vertical="center"/>
    </xf>
    <xf numFmtId="0" fontId="1" fillId="0" borderId="38" xfId="1" applyFill="1" applyBorder="1" applyAlignment="1" applyProtection="1">
      <alignment vertical="center"/>
      <protection hidden="1"/>
    </xf>
    <xf numFmtId="0" fontId="1" fillId="0" borderId="2" xfId="1" applyFill="1" applyBorder="1" applyAlignment="1" applyProtection="1">
      <alignment vertical="center"/>
      <protection hidden="1"/>
    </xf>
    <xf numFmtId="0" fontId="1" fillId="0" borderId="9" xfId="1" applyFont="1" applyBorder="1" applyAlignment="1">
      <alignment vertical="center" wrapText="1"/>
    </xf>
    <xf numFmtId="0" fontId="1" fillId="0" borderId="39" xfId="1" applyFill="1" applyBorder="1" applyAlignment="1" applyProtection="1">
      <alignment vertical="center"/>
      <protection hidden="1"/>
    </xf>
    <xf numFmtId="0" fontId="1" fillId="0" borderId="4" xfId="1" applyFill="1" applyBorder="1" applyAlignment="1" applyProtection="1">
      <alignment vertical="center"/>
      <protection hidden="1"/>
    </xf>
    <xf numFmtId="0" fontId="1" fillId="0" borderId="22" xfId="1" applyFont="1" applyBorder="1" applyAlignment="1">
      <alignment vertical="center" wrapText="1"/>
    </xf>
    <xf numFmtId="0" fontId="1" fillId="0" borderId="48" xfId="1" applyFont="1" applyBorder="1" applyAlignment="1">
      <alignment vertical="center"/>
    </xf>
    <xf numFmtId="0" fontId="1" fillId="0" borderId="22" xfId="1" applyFont="1" applyBorder="1" applyAlignment="1">
      <alignment vertical="center"/>
    </xf>
    <xf numFmtId="0" fontId="1" fillId="0" borderId="20" xfId="1" applyFont="1" applyBorder="1" applyAlignment="1">
      <alignment vertical="center"/>
    </xf>
    <xf numFmtId="0" fontId="1" fillId="0" borderId="21" xfId="1" applyFont="1" applyBorder="1" applyAlignment="1">
      <alignment vertical="center"/>
    </xf>
    <xf numFmtId="0" fontId="1" fillId="6" borderId="39" xfId="1" applyFont="1" applyFill="1" applyBorder="1" applyAlignment="1" applyProtection="1">
      <alignment vertical="center"/>
      <protection hidden="1"/>
    </xf>
    <xf numFmtId="0" fontId="1" fillId="6" borderId="4" xfId="1" applyFont="1" applyFill="1" applyBorder="1" applyAlignment="1" applyProtection="1">
      <alignment vertical="center"/>
      <protection hidden="1"/>
    </xf>
    <xf numFmtId="0" fontId="1" fillId="0" borderId="45" xfId="1" applyBorder="1" applyProtection="1">
      <protection hidden="1"/>
    </xf>
    <xf numFmtId="0" fontId="1" fillId="0" borderId="27" xfId="1" applyFont="1" applyBorder="1" applyAlignment="1">
      <alignment vertical="center"/>
    </xf>
    <xf numFmtId="0" fontId="1" fillId="0" borderId="0" xfId="1" applyFont="1" applyBorder="1" applyAlignment="1">
      <alignment vertical="center"/>
    </xf>
    <xf numFmtId="0" fontId="1" fillId="0" borderId="41" xfId="1" applyFill="1" applyBorder="1" applyAlignment="1" applyProtection="1">
      <alignment vertical="center"/>
      <protection hidden="1"/>
    </xf>
    <xf numFmtId="0" fontId="1" fillId="0" borderId="13" xfId="1" applyFill="1" applyBorder="1" applyAlignment="1" applyProtection="1">
      <alignment vertical="center"/>
      <protection hidden="1"/>
    </xf>
    <xf numFmtId="0" fontId="1" fillId="0" borderId="23" xfId="1" applyFont="1" applyBorder="1" applyProtection="1">
      <protection hidden="1"/>
    </xf>
    <xf numFmtId="0" fontId="1" fillId="0" borderId="45" xfId="1" applyFont="1" applyBorder="1" applyAlignment="1" applyProtection="1">
      <alignment horizontal="center"/>
      <protection hidden="1"/>
    </xf>
    <xf numFmtId="0" fontId="1" fillId="0" borderId="0" xfId="1" applyBorder="1" applyAlignment="1">
      <alignment horizontal="center"/>
    </xf>
    <xf numFmtId="1" fontId="1" fillId="0" borderId="0" xfId="1" applyNumberFormat="1" applyFill="1" applyBorder="1" applyProtection="1">
      <protection hidden="1"/>
    </xf>
    <xf numFmtId="1" fontId="1" fillId="0" borderId="23" xfId="1" applyNumberFormat="1" applyFill="1" applyBorder="1" applyProtection="1">
      <protection hidden="1"/>
    </xf>
    <xf numFmtId="0" fontId="1" fillId="0" borderId="0" xfId="1" applyBorder="1" applyAlignment="1">
      <alignment horizontal="left" vertical="center"/>
    </xf>
    <xf numFmtId="0" fontId="1" fillId="0" borderId="23" xfId="1" applyFont="1" applyBorder="1" applyAlignment="1" applyProtection="1">
      <alignment horizontal="right" vertical="center"/>
      <protection hidden="1"/>
    </xf>
    <xf numFmtId="0" fontId="1" fillId="0" borderId="21" xfId="1" applyBorder="1" applyAlignment="1">
      <alignment horizontal="left" vertical="center"/>
    </xf>
    <xf numFmtId="1" fontId="1" fillId="0" borderId="38" xfId="1" applyNumberFormat="1" applyFont="1" applyBorder="1" applyAlignment="1" applyProtection="1">
      <alignment horizontal="right" vertical="center"/>
      <protection hidden="1"/>
    </xf>
    <xf numFmtId="1" fontId="1" fillId="0" borderId="39" xfId="1" applyNumberFormat="1" applyFont="1" applyBorder="1" applyAlignment="1" applyProtection="1">
      <alignment horizontal="right" vertical="center"/>
      <protection hidden="1"/>
    </xf>
    <xf numFmtId="0" fontId="1" fillId="0" borderId="49" xfId="1" applyFont="1" applyBorder="1" applyAlignment="1">
      <alignment horizontal="left" vertical="center"/>
    </xf>
    <xf numFmtId="0" fontId="1" fillId="0" borderId="13" xfId="1" applyBorder="1" applyAlignment="1">
      <alignment horizontal="left" vertical="center"/>
    </xf>
    <xf numFmtId="1" fontId="1" fillId="0" borderId="41" xfId="1" applyNumberFormat="1" applyFont="1" applyBorder="1" applyAlignment="1" applyProtection="1">
      <alignment horizontal="right" vertical="center"/>
      <protection hidden="1"/>
    </xf>
    <xf numFmtId="0" fontId="1" fillId="0" borderId="0" xfId="1" applyAlignment="1" applyProtection="1">
      <alignment horizontal="center"/>
      <protection hidden="1"/>
    </xf>
    <xf numFmtId="0" fontId="1" fillId="0" borderId="19" xfId="1" applyFont="1" applyBorder="1" applyAlignment="1" applyProtection="1">
      <alignment horizontal="center" vertical="center"/>
      <protection hidden="1"/>
    </xf>
    <xf numFmtId="0" fontId="1" fillId="0" borderId="21" xfId="1" applyFont="1" applyBorder="1" applyAlignment="1" applyProtection="1">
      <alignment horizontal="center" vertical="center"/>
      <protection hidden="1"/>
    </xf>
    <xf numFmtId="0" fontId="1" fillId="0" borderId="9" xfId="1" applyBorder="1" applyAlignment="1">
      <alignment horizontal="center" vertical="center"/>
    </xf>
    <xf numFmtId="0" fontId="1" fillId="0" borderId="46" xfId="1" applyBorder="1" applyAlignment="1">
      <alignment horizontal="center" vertical="center"/>
    </xf>
    <xf numFmtId="0" fontId="15" fillId="0" borderId="0" xfId="2" applyFill="1"/>
    <xf numFmtId="0" fontId="15" fillId="0" borderId="0" xfId="2" applyFill="1" applyAlignment="1">
      <alignment horizontal="center"/>
    </xf>
    <xf numFmtId="4" fontId="16" fillId="0" borderId="0" xfId="2" applyNumberFormat="1" applyFont="1" applyFill="1"/>
    <xf numFmtId="0" fontId="16" fillId="0" borderId="0" xfId="2" applyFont="1" applyFill="1"/>
    <xf numFmtId="0" fontId="17" fillId="0" borderId="0" xfId="2" applyFont="1" applyAlignment="1">
      <alignment vertical="top" wrapText="1"/>
    </xf>
    <xf numFmtId="2" fontId="15" fillId="0" borderId="0" xfId="2" applyNumberFormat="1" applyFill="1" applyAlignment="1">
      <alignment horizontal="center"/>
    </xf>
    <xf numFmtId="0" fontId="21" fillId="0" borderId="53" xfId="2" applyFont="1" applyFill="1" applyBorder="1" applyAlignment="1">
      <alignment vertical="top"/>
    </xf>
    <xf numFmtId="0" fontId="15" fillId="0" borderId="56" xfId="2" applyFont="1" applyFill="1" applyBorder="1" applyAlignment="1">
      <alignment vertical="top"/>
    </xf>
    <xf numFmtId="0" fontId="21" fillId="0" borderId="0" xfId="2" applyFont="1" applyFill="1" applyAlignment="1">
      <alignment vertical="top"/>
    </xf>
    <xf numFmtId="0" fontId="15" fillId="0" borderId="58" xfId="2" applyFont="1" applyFill="1" applyBorder="1" applyAlignment="1">
      <alignment vertical="top"/>
    </xf>
    <xf numFmtId="0" fontId="21" fillId="0" borderId="61" xfId="2" applyFont="1" applyFill="1" applyBorder="1" applyAlignment="1">
      <alignment vertical="top"/>
    </xf>
    <xf numFmtId="0" fontId="18" fillId="0" borderId="56" xfId="2" applyFont="1" applyFill="1" applyBorder="1" applyAlignment="1">
      <alignment vertical="top"/>
    </xf>
    <xf numFmtId="0" fontId="15" fillId="0" borderId="0" xfId="2" applyFill="1" applyAlignment="1">
      <alignment vertical="center"/>
    </xf>
    <xf numFmtId="0" fontId="21" fillId="0" borderId="62" xfId="2" applyFont="1" applyFill="1" applyBorder="1" applyAlignment="1">
      <alignment vertical="top"/>
    </xf>
    <xf numFmtId="0" fontId="22" fillId="0" borderId="0" xfId="2" applyFont="1" applyFill="1" applyAlignment="1">
      <alignment horizontal="center"/>
    </xf>
    <xf numFmtId="0" fontId="22" fillId="0" borderId="0" xfId="2" applyFont="1" applyFill="1"/>
    <xf numFmtId="0" fontId="22" fillId="0" borderId="0" xfId="2" applyFont="1" applyFill="1" applyBorder="1"/>
    <xf numFmtId="0" fontId="23" fillId="0" borderId="0" xfId="2" applyFont="1" applyFill="1"/>
    <xf numFmtId="0" fontId="27" fillId="0" borderId="0" xfId="2" applyFont="1" applyFill="1" applyAlignment="1">
      <alignment horizontal="center"/>
    </xf>
    <xf numFmtId="0" fontId="28" fillId="0" borderId="0" xfId="2" applyFont="1" applyFill="1"/>
    <xf numFmtId="0" fontId="15" fillId="0" borderId="0" xfId="2" applyFill="1" applyAlignment="1">
      <alignment horizontal="left" vertical="top"/>
    </xf>
    <xf numFmtId="0" fontId="17" fillId="0" borderId="0" xfId="2" applyFont="1" applyAlignment="1">
      <alignment horizontal="left" vertical="top" wrapText="1"/>
    </xf>
    <xf numFmtId="0" fontId="15" fillId="0" borderId="0" xfId="2" applyAlignment="1">
      <alignment horizontal="center" vertical="top"/>
    </xf>
    <xf numFmtId="0" fontId="15" fillId="0" borderId="0" xfId="2" applyFont="1" applyAlignment="1">
      <alignment horizontal="center" vertical="top"/>
    </xf>
    <xf numFmtId="0" fontId="23" fillId="0" borderId="0" xfId="2" applyFont="1" applyAlignment="1">
      <alignment vertical="top"/>
    </xf>
    <xf numFmtId="0" fontId="21" fillId="0" borderId="64" xfId="2" applyFont="1" applyFill="1" applyBorder="1" applyAlignment="1">
      <alignment horizontal="left" vertical="top" indent="2"/>
    </xf>
    <xf numFmtId="0" fontId="21" fillId="0" borderId="65" xfId="2" applyFont="1" applyFill="1" applyBorder="1" applyAlignment="1">
      <alignment horizontal="left" vertical="top" indent="2"/>
    </xf>
    <xf numFmtId="0" fontId="15" fillId="0" borderId="0" xfId="2" applyFill="1" applyAlignment="1">
      <alignment horizontal="left"/>
    </xf>
    <xf numFmtId="0" fontId="21" fillId="0" borderId="74" xfId="2" applyFont="1" applyFill="1" applyBorder="1" applyAlignment="1">
      <alignment horizontal="left" vertical="top" indent="2"/>
    </xf>
    <xf numFmtId="0" fontId="22" fillId="0" borderId="0" xfId="2" applyFont="1" applyFill="1" applyAlignment="1">
      <alignment vertical="center"/>
    </xf>
    <xf numFmtId="0" fontId="30" fillId="0" borderId="0" xfId="2" applyFont="1" applyFill="1" applyAlignment="1">
      <alignment horizontal="right" vertical="center"/>
    </xf>
    <xf numFmtId="0" fontId="31" fillId="0" borderId="0" xfId="2" applyFont="1" applyFill="1" applyAlignment="1">
      <alignment vertical="center"/>
    </xf>
    <xf numFmtId="0" fontId="29" fillId="0" borderId="0" xfId="2" applyFont="1" applyFill="1" applyAlignment="1">
      <alignment horizontal="center"/>
    </xf>
    <xf numFmtId="0" fontId="32" fillId="0" borderId="0" xfId="3"/>
    <xf numFmtId="0" fontId="33" fillId="0" borderId="0" xfId="3" applyFont="1"/>
    <xf numFmtId="0" fontId="34" fillId="0" borderId="0" xfId="3" applyFont="1"/>
    <xf numFmtId="0" fontId="32" fillId="8" borderId="14" xfId="3" applyFill="1" applyBorder="1"/>
    <xf numFmtId="0" fontId="35" fillId="8" borderId="14" xfId="3" applyFont="1" applyFill="1" applyBorder="1"/>
    <xf numFmtId="0" fontId="36" fillId="0" borderId="0" xfId="4" applyAlignment="1" applyProtection="1"/>
    <xf numFmtId="0" fontId="36" fillId="0" borderId="0" xfId="4" applyFont="1" applyAlignment="1" applyProtection="1"/>
    <xf numFmtId="0" fontId="32" fillId="9" borderId="14" xfId="3" applyFill="1" applyBorder="1"/>
    <xf numFmtId="0" fontId="35" fillId="9" borderId="14" xfId="3" applyFont="1" applyFill="1" applyBorder="1"/>
    <xf numFmtId="0" fontId="15" fillId="0" borderId="0" xfId="3" applyFont="1"/>
    <xf numFmtId="0" fontId="38" fillId="0" borderId="0" xfId="3" applyFont="1"/>
    <xf numFmtId="0" fontId="39" fillId="0" borderId="0" xfId="3" applyFont="1"/>
    <xf numFmtId="0" fontId="32" fillId="11" borderId="44" xfId="3" applyFill="1" applyBorder="1"/>
    <xf numFmtId="0" fontId="32" fillId="8" borderId="44" xfId="3" applyFill="1" applyBorder="1" applyAlignment="1">
      <alignment horizontal="center" vertical="top" wrapText="1"/>
    </xf>
    <xf numFmtId="0" fontId="32" fillId="11" borderId="78" xfId="3" applyFill="1" applyBorder="1"/>
    <xf numFmtId="0" fontId="32" fillId="8" borderId="78" xfId="3" applyFill="1" applyBorder="1" applyAlignment="1">
      <alignment horizontal="center" vertical="top" wrapText="1"/>
    </xf>
    <xf numFmtId="0" fontId="33" fillId="11" borderId="31" xfId="3" applyFont="1" applyFill="1" applyBorder="1" applyAlignment="1">
      <alignment horizontal="center" vertical="center"/>
    </xf>
    <xf numFmtId="0" fontId="33" fillId="8" borderId="45" xfId="3" applyFont="1" applyFill="1" applyBorder="1" applyAlignment="1">
      <alignment horizontal="center" wrapText="1"/>
    </xf>
    <xf numFmtId="0" fontId="32" fillId="8" borderId="37" xfId="3" applyFill="1" applyBorder="1" applyAlignment="1">
      <alignment horizontal="center" vertical="top" wrapText="1"/>
    </xf>
    <xf numFmtId="0" fontId="32" fillId="8" borderId="36" xfId="3" applyFill="1" applyBorder="1" applyAlignment="1">
      <alignment horizontal="center" vertical="top" wrapText="1"/>
    </xf>
    <xf numFmtId="0" fontId="33" fillId="11" borderId="45" xfId="3" applyFont="1" applyFill="1" applyBorder="1" applyAlignment="1">
      <alignment horizontal="center" vertical="center"/>
    </xf>
    <xf numFmtId="0" fontId="33" fillId="8" borderId="25" xfId="3" applyFont="1" applyFill="1" applyBorder="1" applyAlignment="1">
      <alignment horizontal="center" wrapText="1"/>
    </xf>
    <xf numFmtId="0" fontId="32" fillId="0" borderId="79" xfId="3" applyBorder="1"/>
    <xf numFmtId="0" fontId="32" fillId="12" borderId="37" xfId="3" applyFill="1" applyBorder="1"/>
    <xf numFmtId="0" fontId="32" fillId="0" borderId="35" xfId="3" applyBorder="1"/>
    <xf numFmtId="0" fontId="32" fillId="12" borderId="0" xfId="3" applyFill="1" applyBorder="1"/>
    <xf numFmtId="170" fontId="0" fillId="12" borderId="0" xfId="6" applyNumberFormat="1" applyFont="1" applyFill="1" applyBorder="1" applyAlignment="1">
      <alignment horizontal="center"/>
    </xf>
    <xf numFmtId="0" fontId="32" fillId="12" borderId="0" xfId="3" applyFill="1" applyBorder="1" applyAlignment="1">
      <alignment horizontal="left"/>
    </xf>
    <xf numFmtId="0" fontId="32" fillId="12" borderId="0" xfId="3" applyFill="1" applyBorder="1" applyAlignment="1">
      <alignment horizontal="left" vertical="center" wrapText="1"/>
    </xf>
    <xf numFmtId="0" fontId="33" fillId="0" borderId="23" xfId="3" applyFont="1" applyBorder="1" applyAlignment="1">
      <alignment horizontal="center" vertical="center" wrapText="1"/>
    </xf>
    <xf numFmtId="0" fontId="33" fillId="0" borderId="24" xfId="3" applyFont="1" applyBorder="1" applyAlignment="1">
      <alignment horizontal="center" vertical="center" wrapText="1"/>
    </xf>
    <xf numFmtId="0" fontId="33" fillId="0" borderId="25" xfId="3" applyFont="1" applyBorder="1" applyAlignment="1">
      <alignment horizontal="center" vertical="center" wrapText="1"/>
    </xf>
    <xf numFmtId="0" fontId="38" fillId="0" borderId="81" xfId="3" applyFont="1" applyFill="1" applyBorder="1" applyAlignment="1">
      <alignment horizontal="right"/>
    </xf>
    <xf numFmtId="172" fontId="38" fillId="0" borderId="0" xfId="3" applyNumberFormat="1" applyFont="1"/>
    <xf numFmtId="0" fontId="38" fillId="13" borderId="27" xfId="3" applyFont="1" applyFill="1" applyBorder="1" applyAlignment="1">
      <alignment horizontal="center"/>
    </xf>
    <xf numFmtId="3" fontId="38" fillId="0" borderId="0" xfId="3" applyNumberFormat="1" applyFont="1" applyAlignment="1">
      <alignment horizontal="right"/>
    </xf>
    <xf numFmtId="0" fontId="38" fillId="0" borderId="0" xfId="3" applyFont="1" applyFill="1" applyAlignment="1">
      <alignment horizontal="right"/>
    </xf>
    <xf numFmtId="3" fontId="32" fillId="0" borderId="0" xfId="3" applyNumberFormat="1"/>
    <xf numFmtId="0" fontId="40" fillId="0" borderId="14" xfId="3" applyFont="1" applyBorder="1" applyAlignment="1">
      <alignment horizontal="center"/>
    </xf>
    <xf numFmtId="0" fontId="33" fillId="0" borderId="14" xfId="3" applyFont="1" applyBorder="1"/>
    <xf numFmtId="0" fontId="32" fillId="14" borderId="82" xfId="3" applyFill="1" applyBorder="1" applyAlignment="1">
      <alignment horizontal="center" wrapText="1"/>
    </xf>
    <xf numFmtId="0" fontId="32" fillId="15" borderId="0" xfId="3" applyFill="1"/>
    <xf numFmtId="0" fontId="40" fillId="0" borderId="0" xfId="3" applyFont="1" applyAlignment="1">
      <alignment horizontal="center"/>
    </xf>
    <xf numFmtId="0" fontId="32" fillId="14" borderId="0" xfId="3" applyFill="1" applyBorder="1" applyAlignment="1">
      <alignment horizontal="center" wrapText="1"/>
    </xf>
    <xf numFmtId="2" fontId="32" fillId="15" borderId="0" xfId="3" applyNumberFormat="1" applyFill="1"/>
    <xf numFmtId="3" fontId="32" fillId="15" borderId="0" xfId="3" applyNumberFormat="1" applyFill="1"/>
    <xf numFmtId="0" fontId="32" fillId="14" borderId="83" xfId="3" applyFill="1" applyBorder="1" applyAlignment="1">
      <alignment horizontal="center" wrapText="1"/>
    </xf>
    <xf numFmtId="9" fontId="32" fillId="15" borderId="0" xfId="3" applyNumberFormat="1" applyFill="1"/>
    <xf numFmtId="0" fontId="40" fillId="0" borderId="75" xfId="3" applyFont="1" applyBorder="1" applyAlignment="1">
      <alignment horizontal="center" vertical="center"/>
    </xf>
    <xf numFmtId="0" fontId="33" fillId="0" borderId="75" xfId="3" applyFont="1" applyBorder="1" applyAlignment="1">
      <alignment horizontal="center" vertical="center"/>
    </xf>
    <xf numFmtId="0" fontId="32" fillId="14" borderId="75" xfId="3" applyFill="1" applyBorder="1" applyAlignment="1">
      <alignment wrapText="1"/>
    </xf>
    <xf numFmtId="0" fontId="32" fillId="15" borderId="0" xfId="3" quotePrefix="1" applyFill="1"/>
    <xf numFmtId="3" fontId="41" fillId="0" borderId="44" xfId="3" applyNumberFormat="1" applyFont="1" applyBorder="1" applyAlignment="1">
      <alignment horizontal="right"/>
    </xf>
    <xf numFmtId="3" fontId="41" fillId="0" borderId="0" xfId="3" applyNumberFormat="1" applyFont="1" applyAlignment="1">
      <alignment horizontal="right"/>
    </xf>
    <xf numFmtId="9" fontId="32" fillId="0" borderId="45" xfId="3" applyNumberFormat="1" applyFont="1" applyBorder="1" applyAlignment="1">
      <alignment horizontal="center"/>
    </xf>
    <xf numFmtId="0" fontId="32" fillId="0" borderId="78" xfId="3" applyBorder="1"/>
    <xf numFmtId="9" fontId="32" fillId="0" borderId="79" xfId="3" applyNumberFormat="1" applyFont="1" applyBorder="1" applyAlignment="1">
      <alignment horizontal="center"/>
    </xf>
    <xf numFmtId="0" fontId="32" fillId="0" borderId="14" xfId="3" applyBorder="1"/>
    <xf numFmtId="0" fontId="32" fillId="0" borderId="37" xfId="3" applyBorder="1"/>
    <xf numFmtId="173" fontId="32" fillId="11" borderId="78" xfId="3" applyNumberFormat="1" applyFont="1" applyFill="1" applyBorder="1"/>
    <xf numFmtId="3" fontId="32" fillId="11" borderId="78" xfId="8" applyFont="1" applyFill="1" applyBorder="1"/>
    <xf numFmtId="3" fontId="32" fillId="11" borderId="0" xfId="8" applyFont="1" applyFill="1"/>
    <xf numFmtId="3" fontId="32" fillId="11" borderId="0" xfId="3" applyNumberFormat="1" applyFill="1"/>
    <xf numFmtId="0" fontId="32" fillId="0" borderId="0" xfId="3" applyAlignment="1">
      <alignment horizontal="left"/>
    </xf>
    <xf numFmtId="9" fontId="42" fillId="11" borderId="79" xfId="7" applyFont="1" applyFill="1" applyBorder="1" applyAlignment="1">
      <alignment horizontal="right"/>
    </xf>
    <xf numFmtId="0" fontId="32" fillId="11" borderId="0" xfId="3" applyFill="1" applyBorder="1"/>
    <xf numFmtId="173" fontId="32" fillId="0" borderId="78" xfId="5" applyNumberFormat="1" applyFont="1" applyBorder="1"/>
    <xf numFmtId="3" fontId="32" fillId="0" borderId="78" xfId="8" applyFont="1" applyBorder="1"/>
    <xf numFmtId="3" fontId="32" fillId="0" borderId="0" xfId="8" applyFont="1"/>
    <xf numFmtId="9" fontId="42" fillId="11" borderId="35" xfId="7" applyFont="1" applyFill="1" applyBorder="1" applyAlignment="1">
      <alignment horizontal="right"/>
    </xf>
    <xf numFmtId="173" fontId="32" fillId="0" borderId="84" xfId="3" applyNumberFormat="1" applyFont="1" applyBorder="1"/>
    <xf numFmtId="3" fontId="32" fillId="0" borderId="84" xfId="8" applyFont="1" applyBorder="1"/>
    <xf numFmtId="0" fontId="43" fillId="0" borderId="7" xfId="3" applyFont="1" applyBorder="1" applyAlignment="1">
      <alignment horizontal="center"/>
    </xf>
    <xf numFmtId="0" fontId="32" fillId="0" borderId="8" xfId="3" applyBorder="1"/>
    <xf numFmtId="0" fontId="33" fillId="11" borderId="79" xfId="3" applyFont="1" applyFill="1" applyBorder="1" applyAlignment="1">
      <alignment horizontal="center" vertical="center" wrapText="1"/>
    </xf>
    <xf numFmtId="0" fontId="33" fillId="11" borderId="14" xfId="3" applyFont="1" applyFill="1" applyBorder="1" applyAlignment="1">
      <alignment horizontal="center" vertical="center" wrapText="1"/>
    </xf>
    <xf numFmtId="0" fontId="33" fillId="11" borderId="37" xfId="3" applyFont="1" applyFill="1" applyBorder="1" applyAlignment="1">
      <alignment horizontal="center" vertical="center" wrapText="1"/>
    </xf>
    <xf numFmtId="173" fontId="0" fillId="0" borderId="0" xfId="5" applyNumberFormat="1" applyFont="1" applyFill="1" applyBorder="1"/>
    <xf numFmtId="0" fontId="33" fillId="11" borderId="7" xfId="3" applyFont="1" applyFill="1" applyBorder="1" applyAlignment="1">
      <alignment horizontal="center" vertical="center" wrapText="1"/>
    </xf>
    <xf numFmtId="0" fontId="33" fillId="11" borderId="15" xfId="3" applyFont="1" applyFill="1" applyBorder="1" applyAlignment="1">
      <alignment horizontal="center" vertical="center" wrapText="1"/>
    </xf>
    <xf numFmtId="0" fontId="33" fillId="11" borderId="8" xfId="3" applyFont="1" applyFill="1" applyBorder="1" applyAlignment="1">
      <alignment horizontal="center" vertical="center" wrapText="1"/>
    </xf>
    <xf numFmtId="3" fontId="44" fillId="0" borderId="0" xfId="3" applyNumberFormat="1" applyFont="1" applyBorder="1"/>
    <xf numFmtId="0" fontId="32" fillId="0" borderId="0" xfId="3" applyBorder="1" applyAlignment="1">
      <alignment horizontal="left"/>
    </xf>
    <xf numFmtId="0" fontId="32" fillId="0" borderId="0" xfId="3" applyBorder="1"/>
    <xf numFmtId="9" fontId="0" fillId="0" borderId="0" xfId="7" applyFont="1" applyBorder="1" applyAlignment="1">
      <alignment horizontal="left" indent="1"/>
    </xf>
    <xf numFmtId="0" fontId="32" fillId="0" borderId="0" xfId="3" applyFill="1" applyBorder="1"/>
    <xf numFmtId="3" fontId="0" fillId="0" borderId="0" xfId="8" applyFont="1" applyBorder="1"/>
    <xf numFmtId="3" fontId="44" fillId="0" borderId="0" xfId="8" applyFont="1" applyBorder="1"/>
    <xf numFmtId="3" fontId="46" fillId="0" borderId="0" xfId="8" applyFont="1"/>
    <xf numFmtId="0" fontId="46" fillId="0" borderId="0" xfId="3" applyFont="1"/>
    <xf numFmtId="0" fontId="46" fillId="0" borderId="0" xfId="3" applyFont="1" applyAlignment="1">
      <alignment horizontal="left"/>
    </xf>
    <xf numFmtId="2" fontId="41" fillId="0" borderId="0" xfId="3" applyNumberFormat="1" applyFont="1"/>
    <xf numFmtId="0" fontId="41" fillId="0" borderId="0" xfId="3" quotePrefix="1" applyFont="1" applyAlignment="1">
      <alignment horizontal="right"/>
    </xf>
    <xf numFmtId="0" fontId="41" fillId="0" borderId="0" xfId="3" applyFont="1" applyAlignment="1">
      <alignment horizontal="left"/>
    </xf>
    <xf numFmtId="0" fontId="41" fillId="0" borderId="0" xfId="3" applyFont="1"/>
    <xf numFmtId="168" fontId="47" fillId="0" borderId="0" xfId="3" applyNumberFormat="1" applyFont="1" applyFill="1" applyBorder="1" applyAlignment="1">
      <alignment horizontal="center"/>
    </xf>
    <xf numFmtId="174" fontId="32" fillId="0" borderId="0" xfId="3" applyNumberFormat="1" applyBorder="1"/>
    <xf numFmtId="174" fontId="41" fillId="0" borderId="0" xfId="3" applyNumberFormat="1" applyFont="1"/>
    <xf numFmtId="3" fontId="41" fillId="0" borderId="0" xfId="8" applyFont="1"/>
    <xf numFmtId="3" fontId="32" fillId="0" borderId="0" xfId="3" applyNumberFormat="1" applyFont="1"/>
    <xf numFmtId="9" fontId="0" fillId="0" borderId="0" xfId="7" applyFont="1" applyAlignment="1">
      <alignment horizontal="left" indent="1"/>
    </xf>
    <xf numFmtId="173" fontId="32" fillId="0" borderId="0" xfId="3" applyNumberFormat="1"/>
    <xf numFmtId="3" fontId="0" fillId="0" borderId="0" xfId="8" applyFont="1"/>
    <xf numFmtId="3" fontId="44" fillId="0" borderId="0" xfId="8" applyFont="1"/>
    <xf numFmtId="168" fontId="47" fillId="12" borderId="0" xfId="3" applyNumberFormat="1" applyFont="1" applyFill="1" applyBorder="1" applyAlignment="1">
      <alignment horizontal="center"/>
    </xf>
    <xf numFmtId="0" fontId="32" fillId="12" borderId="0" xfId="3" applyFill="1"/>
    <xf numFmtId="174" fontId="32" fillId="12" borderId="0" xfId="3" applyNumberFormat="1" applyFill="1" applyBorder="1"/>
    <xf numFmtId="173" fontId="0" fillId="0" borderId="0" xfId="5" applyNumberFormat="1" applyFont="1" applyFill="1"/>
    <xf numFmtId="164" fontId="0" fillId="12" borderId="0" xfId="5" applyNumberFormat="1" applyFont="1" applyFill="1" applyAlignment="1">
      <alignment horizontal="center"/>
    </xf>
    <xf numFmtId="173" fontId="44" fillId="0" borderId="0" xfId="5" applyNumberFormat="1" applyFont="1"/>
    <xf numFmtId="0" fontId="32" fillId="0" borderId="0" xfId="3" applyFont="1" applyAlignment="1"/>
    <xf numFmtId="2" fontId="32" fillId="12" borderId="0" xfId="3" applyNumberFormat="1" applyFill="1"/>
    <xf numFmtId="0" fontId="44" fillId="0" borderId="0" xfId="3" applyFont="1" applyAlignment="1"/>
    <xf numFmtId="9" fontId="44" fillId="0" borderId="0" xfId="7" applyFont="1" applyAlignment="1">
      <alignment horizontal="left" indent="3"/>
    </xf>
    <xf numFmtId="2" fontId="32" fillId="16" borderId="0" xfId="3" applyNumberFormat="1" applyFill="1"/>
    <xf numFmtId="173" fontId="32" fillId="0" borderId="0" xfId="5" applyNumberFormat="1" applyFont="1"/>
    <xf numFmtId="173" fontId="33" fillId="0" borderId="0" xfId="8" applyNumberFormat="1" applyFont="1"/>
    <xf numFmtId="3" fontId="33" fillId="0" borderId="0" xfId="8" applyFont="1"/>
    <xf numFmtId="0" fontId="32" fillId="12" borderId="0" xfId="3" applyFill="1" applyAlignment="1">
      <alignment horizontal="center" vertical="center" wrapText="1"/>
    </xf>
    <xf numFmtId="0" fontId="33" fillId="11" borderId="37" xfId="3" applyFont="1" applyFill="1" applyBorder="1"/>
    <xf numFmtId="0" fontId="32" fillId="11" borderId="8" xfId="3" applyFill="1" applyBorder="1"/>
    <xf numFmtId="0" fontId="33" fillId="8" borderId="24" xfId="3" applyFont="1" applyFill="1" applyBorder="1" applyAlignment="1">
      <alignment horizontal="center" wrapText="1"/>
    </xf>
    <xf numFmtId="0" fontId="33" fillId="8" borderId="84" xfId="3" applyFont="1" applyFill="1" applyBorder="1" applyAlignment="1">
      <alignment horizontal="center" wrapText="1"/>
    </xf>
    <xf numFmtId="3" fontId="32" fillId="0" borderId="85" xfId="3" applyNumberFormat="1" applyBorder="1"/>
    <xf numFmtId="0" fontId="33" fillId="0" borderId="23" xfId="3" applyFont="1" applyBorder="1" applyAlignment="1">
      <alignment horizontal="center" wrapText="1"/>
    </xf>
    <xf numFmtId="0" fontId="33" fillId="0" borderId="24" xfId="3" applyFont="1" applyBorder="1" applyAlignment="1">
      <alignment horizontal="center" wrapText="1"/>
    </xf>
    <xf numFmtId="0" fontId="33" fillId="0" borderId="25" xfId="3" applyFont="1" applyBorder="1" applyAlignment="1">
      <alignment horizontal="center" wrapText="1"/>
    </xf>
    <xf numFmtId="173" fontId="32" fillId="0" borderId="79" xfId="3" applyNumberFormat="1" applyFill="1" applyBorder="1"/>
    <xf numFmtId="0" fontId="32" fillId="20" borderId="14" xfId="3" applyFill="1" applyBorder="1" applyAlignment="1">
      <alignment horizontal="center"/>
    </xf>
    <xf numFmtId="173" fontId="32" fillId="0" borderId="35" xfId="3" applyNumberFormat="1" applyFill="1" applyBorder="1"/>
    <xf numFmtId="0" fontId="32" fillId="20" borderId="0" xfId="3" applyFill="1" applyBorder="1" applyAlignment="1">
      <alignment horizontal="center"/>
    </xf>
    <xf numFmtId="0" fontId="39" fillId="0" borderId="0" xfId="3" applyFont="1" applyAlignment="1">
      <alignment wrapText="1"/>
    </xf>
    <xf numFmtId="0" fontId="39" fillId="0" borderId="0" xfId="3" applyFont="1" applyAlignment="1">
      <alignment vertical="center" wrapText="1"/>
    </xf>
    <xf numFmtId="0" fontId="39" fillId="0" borderId="0" xfId="3" applyFont="1" applyAlignment="1">
      <alignment vertical="center"/>
    </xf>
    <xf numFmtId="0" fontId="52" fillId="0" borderId="0" xfId="4" applyFont="1" applyAlignment="1" applyProtection="1">
      <alignment wrapText="1"/>
    </xf>
    <xf numFmtId="0" fontId="54" fillId="0" borderId="0" xfId="4" applyFont="1" applyAlignment="1" applyProtection="1">
      <alignment wrapText="1"/>
    </xf>
    <xf numFmtId="0" fontId="52" fillId="0" borderId="0" xfId="4" applyFont="1" applyAlignment="1" applyProtection="1"/>
    <xf numFmtId="0" fontId="39" fillId="0" borderId="0" xfId="3" applyNumberFormat="1" applyFont="1" applyAlignment="1">
      <alignment wrapText="1"/>
    </xf>
    <xf numFmtId="0" fontId="39" fillId="0" borderId="0" xfId="3" applyFont="1" applyAlignment="1">
      <alignment vertical="top" wrapText="1"/>
    </xf>
    <xf numFmtId="0" fontId="39" fillId="0" borderId="0" xfId="3" quotePrefix="1" applyFont="1" applyAlignment="1">
      <alignment wrapText="1"/>
    </xf>
    <xf numFmtId="0" fontId="39" fillId="0" borderId="0" xfId="3" applyFont="1" applyFill="1" applyAlignment="1">
      <alignment wrapText="1"/>
    </xf>
    <xf numFmtId="0" fontId="39" fillId="0" borderId="0" xfId="3" applyFont="1" applyFill="1" applyAlignment="1">
      <alignment vertical="center" wrapText="1"/>
    </xf>
    <xf numFmtId="0" fontId="54" fillId="0" borderId="0" xfId="4" applyFont="1" applyAlignment="1" applyProtection="1"/>
    <xf numFmtId="0" fontId="51" fillId="0" borderId="0" xfId="3" applyFont="1"/>
    <xf numFmtId="0" fontId="51" fillId="12" borderId="0" xfId="3" applyFont="1" applyFill="1"/>
    <xf numFmtId="0" fontId="51" fillId="12" borderId="0" xfId="3" applyFont="1" applyFill="1" applyAlignment="1">
      <alignment wrapText="1"/>
    </xf>
    <xf numFmtId="0" fontId="51" fillId="12" borderId="0" xfId="3" applyFont="1" applyFill="1" applyAlignment="1">
      <alignment vertical="center" wrapText="1"/>
    </xf>
    <xf numFmtId="0" fontId="51" fillId="12" borderId="0" xfId="3" applyFont="1" applyFill="1" applyAlignment="1">
      <alignment vertical="center"/>
    </xf>
    <xf numFmtId="0" fontId="32" fillId="0" borderId="0" xfId="3" applyAlignment="1">
      <alignment vertical="center"/>
    </xf>
    <xf numFmtId="0" fontId="39" fillId="21" borderId="0" xfId="3" applyFont="1" applyFill="1" applyAlignment="1">
      <alignment vertical="center"/>
    </xf>
    <xf numFmtId="0" fontId="32" fillId="0" borderId="0" xfId="3" applyFont="1"/>
    <xf numFmtId="3" fontId="47" fillId="0" borderId="0" xfId="3" applyNumberFormat="1" applyFont="1"/>
    <xf numFmtId="0" fontId="47" fillId="0" borderId="0" xfId="3" applyFont="1"/>
    <xf numFmtId="0" fontId="15" fillId="0" borderId="0" xfId="2"/>
    <xf numFmtId="0" fontId="15" fillId="0" borderId="0" xfId="2" applyAlignment="1">
      <alignment horizontal="center"/>
    </xf>
    <xf numFmtId="0" fontId="57" fillId="7" borderId="0" xfId="3" applyFont="1" applyFill="1"/>
    <xf numFmtId="0" fontId="42" fillId="0" borderId="15" xfId="3" applyFont="1" applyFill="1" applyBorder="1"/>
    <xf numFmtId="0" fontId="0" fillId="0" borderId="0" xfId="0" applyAlignment="1">
      <alignment horizontal="center"/>
    </xf>
    <xf numFmtId="0" fontId="1" fillId="0" borderId="8" xfId="1" applyFont="1" applyBorder="1" applyAlignment="1">
      <alignment horizontal="left" vertical="center"/>
    </xf>
    <xf numFmtId="0" fontId="1" fillId="0" borderId="0" xfId="1" applyBorder="1" applyAlignment="1">
      <alignment horizontal="center" vertical="center"/>
    </xf>
    <xf numFmtId="0" fontId="2" fillId="0" borderId="10" xfId="1" applyFont="1" applyBorder="1" applyAlignment="1">
      <alignment horizontal="left" vertical="center"/>
    </xf>
    <xf numFmtId="1" fontId="38" fillId="22" borderId="47" xfId="3" applyNumberFormat="1" applyFont="1" applyFill="1" applyBorder="1" applyAlignment="1">
      <alignment horizontal="right"/>
    </xf>
    <xf numFmtId="171" fontId="38" fillId="22" borderId="47" xfId="3" applyNumberFormat="1" applyFont="1" applyFill="1" applyBorder="1" applyAlignment="1">
      <alignment horizontal="right"/>
    </xf>
    <xf numFmtId="170" fontId="0" fillId="22" borderId="0" xfId="6" applyNumberFormat="1" applyFont="1" applyFill="1" applyBorder="1" applyAlignment="1">
      <alignment horizontal="center" vertical="center" wrapText="1"/>
    </xf>
    <xf numFmtId="9" fontId="0" fillId="22" borderId="0" xfId="7" applyFont="1" applyFill="1" applyBorder="1" applyAlignment="1">
      <alignment horizontal="center"/>
    </xf>
    <xf numFmtId="168" fontId="0" fillId="22" borderId="0" xfId="6" applyNumberFormat="1" applyFont="1" applyFill="1" applyBorder="1" applyAlignment="1">
      <alignment horizontal="center"/>
    </xf>
    <xf numFmtId="168" fontId="0" fillId="22" borderId="14" xfId="6" applyNumberFormat="1" applyFont="1" applyFill="1" applyBorder="1" applyAlignment="1">
      <alignment horizontal="center"/>
    </xf>
    <xf numFmtId="0" fontId="32" fillId="22" borderId="0" xfId="3" applyFill="1" applyAlignment="1">
      <alignment horizontal="left"/>
    </xf>
    <xf numFmtId="0" fontId="10" fillId="0" borderId="38" xfId="1" applyFont="1" applyFill="1" applyBorder="1" applyAlignment="1">
      <alignment horizontal="right" vertical="center"/>
    </xf>
    <xf numFmtId="0" fontId="38" fillId="0" borderId="0" xfId="2" applyFont="1"/>
    <xf numFmtId="2" fontId="15" fillId="0" borderId="0" xfId="2" applyNumberFormat="1"/>
    <xf numFmtId="0" fontId="15" fillId="0" borderId="0" xfId="2" applyFont="1"/>
    <xf numFmtId="0" fontId="38" fillId="0" borderId="0" xfId="2" applyFont="1" applyAlignment="1">
      <alignment horizontal="center"/>
    </xf>
    <xf numFmtId="2" fontId="38" fillId="0" borderId="0" xfId="2" applyNumberFormat="1" applyFont="1"/>
    <xf numFmtId="0" fontId="38" fillId="0" borderId="0" xfId="2" applyFont="1" applyAlignment="1">
      <alignment horizontal="right"/>
    </xf>
    <xf numFmtId="0" fontId="15" fillId="0" borderId="0" xfId="2" applyAlignment="1">
      <alignment vertical="top"/>
    </xf>
    <xf numFmtId="0" fontId="15" fillId="0" borderId="0" xfId="2" applyAlignment="1">
      <alignment horizontal="right" vertical="top"/>
    </xf>
    <xf numFmtId="0" fontId="67" fillId="0" borderId="0" xfId="0" applyFont="1" applyAlignment="1">
      <alignment vertical="top" wrapText="1"/>
    </xf>
    <xf numFmtId="2" fontId="27" fillId="0" borderId="0" xfId="0" applyNumberFormat="1" applyFont="1"/>
    <xf numFmtId="0" fontId="62" fillId="0" borderId="0" xfId="0" applyFont="1"/>
    <xf numFmtId="0" fontId="0" fillId="23" borderId="0" xfId="0" applyFill="1"/>
    <xf numFmtId="9" fontId="0" fillId="23" borderId="0" xfId="9" applyFont="1" applyFill="1"/>
    <xf numFmtId="0" fontId="71" fillId="23" borderId="0" xfId="0" applyFont="1" applyFill="1"/>
    <xf numFmtId="0" fontId="26" fillId="23" borderId="0" xfId="2" applyFont="1" applyFill="1" applyAlignment="1">
      <alignment wrapText="1"/>
    </xf>
    <xf numFmtId="0" fontId="23" fillId="23" borderId="0" xfId="2" applyFont="1" applyFill="1"/>
    <xf numFmtId="4" fontId="26" fillId="23" borderId="0" xfId="2" applyNumberFormat="1" applyFont="1" applyFill="1"/>
    <xf numFmtId="0" fontId="22" fillId="23" borderId="0" xfId="2" applyFont="1" applyFill="1" applyAlignment="1">
      <alignment horizontal="center"/>
    </xf>
    <xf numFmtId="0" fontId="15" fillId="23" borderId="0" xfId="2" applyFill="1"/>
    <xf numFmtId="0" fontId="26" fillId="23" borderId="0" xfId="2" applyFont="1" applyFill="1"/>
    <xf numFmtId="0" fontId="22" fillId="23" borderId="0" xfId="2" applyFont="1" applyFill="1"/>
    <xf numFmtId="4" fontId="16" fillId="23" borderId="0" xfId="2" applyNumberFormat="1" applyFont="1" applyFill="1" applyAlignment="1">
      <alignment vertical="top"/>
    </xf>
    <xf numFmtId="0" fontId="15" fillId="23" borderId="0" xfId="2" applyFont="1" applyFill="1" applyAlignment="1">
      <alignment vertical="top"/>
    </xf>
    <xf numFmtId="0" fontId="15" fillId="23" borderId="0" xfId="2" applyFont="1" applyFill="1" applyAlignment="1">
      <alignment horizontal="center" vertical="top"/>
    </xf>
    <xf numFmtId="0" fontId="15" fillId="23" borderId="0" xfId="2" applyFill="1" applyAlignment="1">
      <alignment vertical="top"/>
    </xf>
    <xf numFmtId="0" fontId="15" fillId="23" borderId="0" xfId="2" applyFill="1" applyAlignment="1">
      <alignment horizontal="center" vertical="top"/>
    </xf>
    <xf numFmtId="4" fontId="16" fillId="23" borderId="0" xfId="2" applyNumberFormat="1" applyFont="1" applyFill="1" applyAlignment="1">
      <alignment vertical="center"/>
    </xf>
    <xf numFmtId="0" fontId="15" fillId="23" borderId="0" xfId="2" applyFont="1" applyFill="1" applyAlignment="1">
      <alignment vertical="center"/>
    </xf>
    <xf numFmtId="0" fontId="15" fillId="23" borderId="0" xfId="2" applyFont="1" applyFill="1" applyAlignment="1">
      <alignment horizontal="center" vertical="center"/>
    </xf>
    <xf numFmtId="0" fontId="15" fillId="23" borderId="0" xfId="2" applyFill="1" applyAlignment="1">
      <alignment vertical="center"/>
    </xf>
    <xf numFmtId="4" fontId="16" fillId="23" borderId="60" xfId="2" applyNumberFormat="1" applyFont="1" applyFill="1" applyBorder="1" applyAlignment="1">
      <alignment vertical="top"/>
    </xf>
    <xf numFmtId="0" fontId="18" fillId="23" borderId="60" xfId="2" applyFont="1" applyFill="1" applyBorder="1" applyAlignment="1">
      <alignment vertical="top"/>
    </xf>
    <xf numFmtId="0" fontId="18" fillId="23" borderId="59" xfId="2" applyFont="1" applyFill="1" applyBorder="1" applyAlignment="1">
      <alignment horizontal="center" vertical="top"/>
    </xf>
    <xf numFmtId="0" fontId="21" fillId="23" borderId="0" xfId="2" applyFont="1" applyFill="1"/>
    <xf numFmtId="4" fontId="16" fillId="23" borderId="55" xfId="2" applyNumberFormat="1" applyFont="1" applyFill="1" applyBorder="1" applyAlignment="1">
      <alignment vertical="top"/>
    </xf>
    <xf numFmtId="0" fontId="18" fillId="23" borderId="55" xfId="2" applyFont="1" applyFill="1" applyBorder="1" applyAlignment="1">
      <alignment vertical="top"/>
    </xf>
    <xf numFmtId="0" fontId="18" fillId="23" borderId="54" xfId="2" applyFont="1" applyFill="1" applyBorder="1" applyAlignment="1">
      <alignment horizontal="center" vertical="top"/>
    </xf>
    <xf numFmtId="0" fontId="15" fillId="23" borderId="60" xfId="2" applyFont="1" applyFill="1" applyBorder="1" applyAlignment="1">
      <alignment vertical="top"/>
    </xf>
    <xf numFmtId="0" fontId="15" fillId="23" borderId="59" xfId="2" applyFont="1" applyFill="1" applyBorder="1" applyAlignment="1">
      <alignment horizontal="center" vertical="top"/>
    </xf>
    <xf numFmtId="0" fontId="15" fillId="23" borderId="55" xfId="2" applyFont="1" applyFill="1" applyBorder="1" applyAlignment="1">
      <alignment vertical="top"/>
    </xf>
    <xf numFmtId="0" fontId="15" fillId="23" borderId="54" xfId="2" applyFont="1" applyFill="1" applyBorder="1" applyAlignment="1">
      <alignment horizontal="center" vertical="top"/>
    </xf>
    <xf numFmtId="4" fontId="16" fillId="23" borderId="60" xfId="2" applyNumberFormat="1" applyFont="1" applyFill="1" applyBorder="1" applyAlignment="1">
      <alignment vertical="top" wrapText="1"/>
    </xf>
    <xf numFmtId="4" fontId="16" fillId="23" borderId="55" xfId="2" applyNumberFormat="1" applyFont="1" applyFill="1" applyBorder="1" applyAlignment="1">
      <alignment vertical="top" wrapText="1"/>
    </xf>
    <xf numFmtId="4" fontId="16" fillId="23" borderId="0" xfId="2" applyNumberFormat="1" applyFont="1" applyFill="1" applyAlignment="1">
      <alignment vertical="top" wrapText="1"/>
    </xf>
    <xf numFmtId="0" fontId="15" fillId="23" borderId="57" xfId="2" applyFont="1" applyFill="1" applyBorder="1" applyAlignment="1">
      <alignment horizontal="center" vertical="top"/>
    </xf>
    <xf numFmtId="4" fontId="16" fillId="23" borderId="0" xfId="2" applyNumberFormat="1" applyFont="1" applyFill="1"/>
    <xf numFmtId="0" fontId="15" fillId="23" borderId="0" xfId="2" applyFont="1" applyFill="1" applyAlignment="1">
      <alignment horizontal="center"/>
    </xf>
    <xf numFmtId="0" fontId="20" fillId="23" borderId="0" xfId="2" applyFont="1" applyFill="1"/>
    <xf numFmtId="0" fontId="16" fillId="23" borderId="0" xfId="2" applyFont="1" applyFill="1" applyAlignment="1">
      <alignment vertical="top"/>
    </xf>
    <xf numFmtId="0" fontId="15" fillId="23" borderId="0" xfId="2" applyFill="1" applyAlignment="1">
      <alignment horizontal="center"/>
    </xf>
    <xf numFmtId="0" fontId="23" fillId="23" borderId="0" xfId="2" applyFont="1" applyFill="1" applyAlignment="1">
      <alignment horizontal="center"/>
    </xf>
    <xf numFmtId="0" fontId="21" fillId="23" borderId="0" xfId="2" applyFont="1" applyFill="1" applyAlignment="1">
      <alignment vertical="top"/>
    </xf>
    <xf numFmtId="0" fontId="21" fillId="23" borderId="0" xfId="2" applyFont="1" applyFill="1" applyAlignment="1">
      <alignment horizontal="center" vertical="top"/>
    </xf>
    <xf numFmtId="0" fontId="21" fillId="24" borderId="0" xfId="2" applyFont="1" applyFill="1" applyAlignment="1">
      <alignment vertical="top"/>
    </xf>
    <xf numFmtId="0" fontId="15" fillId="24" borderId="0" xfId="2" applyFont="1" applyFill="1" applyAlignment="1">
      <alignment vertical="top"/>
    </xf>
    <xf numFmtId="0" fontId="21" fillId="24" borderId="0" xfId="2" applyFont="1" applyFill="1" applyAlignment="1">
      <alignment horizontal="center" vertical="top"/>
    </xf>
    <xf numFmtId="0" fontId="15" fillId="24" borderId="0" xfId="2" applyFill="1" applyAlignment="1">
      <alignment vertical="top" wrapText="1"/>
    </xf>
    <xf numFmtId="0" fontId="15" fillId="25" borderId="0" xfId="2" applyFill="1" applyAlignment="1">
      <alignment vertical="top"/>
    </xf>
    <xf numFmtId="0" fontId="15" fillId="25" borderId="0" xfId="2" applyFill="1" applyAlignment="1">
      <alignment horizontal="center" vertical="top"/>
    </xf>
    <xf numFmtId="0" fontId="17" fillId="23" borderId="0" xfId="2" applyFont="1" applyFill="1" applyAlignment="1">
      <alignment vertical="top"/>
    </xf>
    <xf numFmtId="0" fontId="21" fillId="23" borderId="61" xfId="2" applyFont="1" applyFill="1" applyBorder="1" applyAlignment="1">
      <alignment vertical="top"/>
    </xf>
    <xf numFmtId="0" fontId="21" fillId="23" borderId="60" xfId="2" applyFont="1" applyFill="1" applyBorder="1" applyAlignment="1">
      <alignment vertical="top"/>
    </xf>
    <xf numFmtId="0" fontId="21" fillId="23" borderId="59" xfId="2" applyFont="1" applyFill="1" applyBorder="1" applyAlignment="1">
      <alignment horizontal="center" vertical="top"/>
    </xf>
    <xf numFmtId="0" fontId="18" fillId="23" borderId="56" xfId="2" applyFont="1" applyFill="1" applyBorder="1" applyAlignment="1">
      <alignment vertical="top"/>
    </xf>
    <xf numFmtId="0" fontId="21" fillId="23" borderId="55" xfId="2" applyFont="1" applyFill="1" applyBorder="1" applyAlignment="1">
      <alignment vertical="top"/>
    </xf>
    <xf numFmtId="0" fontId="20" fillId="23" borderId="0" xfId="2" applyFont="1" applyFill="1" applyAlignment="1">
      <alignment vertical="top"/>
    </xf>
    <xf numFmtId="0" fontId="15" fillId="23" borderId="56" xfId="2" applyFont="1" applyFill="1" applyBorder="1" applyAlignment="1">
      <alignment vertical="top"/>
    </xf>
    <xf numFmtId="0" fontId="15" fillId="23" borderId="60" xfId="2" applyFill="1" applyBorder="1" applyAlignment="1">
      <alignment vertical="top" wrapText="1"/>
    </xf>
    <xf numFmtId="0" fontId="15" fillId="23" borderId="55" xfId="2" applyFill="1" applyBorder="1" applyAlignment="1">
      <alignment vertical="top" wrapText="1"/>
    </xf>
    <xf numFmtId="0" fontId="16" fillId="24" borderId="0" xfId="2" applyFont="1" applyFill="1" applyAlignment="1">
      <alignment vertical="top"/>
    </xf>
    <xf numFmtId="0" fontId="15" fillId="23" borderId="0" xfId="2" applyFill="1" applyAlignment="1">
      <alignment vertical="top" wrapText="1"/>
    </xf>
    <xf numFmtId="0" fontId="21" fillId="26" borderId="61" xfId="2" applyFont="1" applyFill="1" applyBorder="1" applyAlignment="1">
      <alignment vertical="top"/>
    </xf>
    <xf numFmtId="0" fontId="21" fillId="26" borderId="60" xfId="2" applyFont="1" applyFill="1" applyBorder="1" applyAlignment="1">
      <alignment vertical="top"/>
    </xf>
    <xf numFmtId="0" fontId="15" fillId="26" borderId="60" xfId="2" applyFill="1" applyBorder="1" applyAlignment="1">
      <alignment vertical="top" wrapText="1"/>
    </xf>
    <xf numFmtId="0" fontId="21" fillId="26" borderId="59" xfId="2" applyFont="1" applyFill="1" applyBorder="1" applyAlignment="1">
      <alignment horizontal="center" vertical="top"/>
    </xf>
    <xf numFmtId="0" fontId="15" fillId="26" borderId="58" xfId="2" applyFont="1" applyFill="1" applyBorder="1" applyAlignment="1">
      <alignment vertical="top"/>
    </xf>
    <xf numFmtId="0" fontId="21" fillId="26" borderId="0" xfId="2" applyFont="1" applyFill="1" applyAlignment="1">
      <alignment vertical="top"/>
    </xf>
    <xf numFmtId="0" fontId="15" fillId="26" borderId="0" xfId="2" applyFill="1" applyAlignment="1">
      <alignment vertical="top" wrapText="1"/>
    </xf>
    <xf numFmtId="0" fontId="15" fillId="26" borderId="57" xfId="2" applyFont="1" applyFill="1" applyBorder="1" applyAlignment="1">
      <alignment horizontal="center" vertical="top"/>
    </xf>
    <xf numFmtId="0" fontId="15" fillId="26" borderId="56" xfId="2" applyFont="1" applyFill="1" applyBorder="1" applyAlignment="1">
      <alignment vertical="top"/>
    </xf>
    <xf numFmtId="0" fontId="21" fillId="26" borderId="55" xfId="2" applyFont="1" applyFill="1" applyBorder="1" applyAlignment="1">
      <alignment vertical="top"/>
    </xf>
    <xf numFmtId="0" fontId="15" fillId="26" borderId="55" xfId="2" applyFont="1" applyFill="1" applyBorder="1" applyAlignment="1">
      <alignment vertical="top"/>
    </xf>
    <xf numFmtId="0" fontId="15" fillId="26" borderId="55" xfId="2" applyFill="1" applyBorder="1" applyAlignment="1">
      <alignment vertical="top" wrapText="1"/>
    </xf>
    <xf numFmtId="0" fontId="15" fillId="26" borderId="54" xfId="2" applyFont="1" applyFill="1" applyBorder="1" applyAlignment="1">
      <alignment horizontal="center" vertical="top"/>
    </xf>
    <xf numFmtId="0" fontId="15" fillId="23" borderId="58" xfId="2" applyFont="1" applyFill="1" applyBorder="1" applyAlignment="1">
      <alignment vertical="top"/>
    </xf>
    <xf numFmtId="0" fontId="15" fillId="26" borderId="0" xfId="2" applyFill="1"/>
    <xf numFmtId="0" fontId="21" fillId="26" borderId="0" xfId="2" applyFont="1" applyFill="1" applyAlignment="1">
      <alignment horizontal="center"/>
    </xf>
    <xf numFmtId="0" fontId="25" fillId="23" borderId="0" xfId="2" applyFont="1" applyFill="1" applyAlignment="1">
      <alignment horizontal="center"/>
    </xf>
    <xf numFmtId="0" fontId="38" fillId="23" borderId="0" xfId="2" applyFont="1" applyFill="1" applyAlignment="1">
      <alignment horizontal="center" vertical="top"/>
    </xf>
    <xf numFmtId="0" fontId="38" fillId="23" borderId="0" xfId="2" applyFont="1" applyFill="1"/>
    <xf numFmtId="0" fontId="38" fillId="23" borderId="0" xfId="2" applyFont="1" applyFill="1" applyAlignment="1">
      <alignment vertical="center"/>
    </xf>
    <xf numFmtId="0" fontId="61" fillId="23" borderId="0" xfId="2" applyFont="1" applyFill="1"/>
    <xf numFmtId="0" fontId="38" fillId="23" borderId="0" xfId="2" applyFont="1" applyFill="1" applyAlignment="1">
      <alignment horizontal="center"/>
    </xf>
    <xf numFmtId="0" fontId="38" fillId="23" borderId="0" xfId="2" applyFont="1" applyFill="1" applyAlignment="1">
      <alignment horizontal="right"/>
    </xf>
    <xf numFmtId="2" fontId="38" fillId="23" borderId="0" xfId="2" applyNumberFormat="1" applyFont="1" applyFill="1"/>
    <xf numFmtId="0" fontId="19" fillId="23" borderId="0" xfId="2" applyFont="1" applyFill="1"/>
    <xf numFmtId="2" fontId="15" fillId="23" borderId="0" xfId="2" applyNumberFormat="1" applyFill="1"/>
    <xf numFmtId="0" fontId="59" fillId="23" borderId="0" xfId="0" applyFont="1" applyFill="1" applyAlignment="1">
      <alignment horizontal="right"/>
    </xf>
    <xf numFmtId="2" fontId="61" fillId="23" borderId="0" xfId="2" applyNumberFormat="1" applyFont="1" applyFill="1"/>
    <xf numFmtId="0" fontId="60" fillId="23" borderId="0" xfId="2" applyFont="1" applyFill="1"/>
    <xf numFmtId="0" fontId="59" fillId="23" borderId="0" xfId="0" applyFont="1" applyFill="1" applyAlignment="1">
      <alignment horizontal="right" vertical="top"/>
    </xf>
    <xf numFmtId="174" fontId="61" fillId="23" borderId="0" xfId="2" applyNumberFormat="1" applyFont="1" applyFill="1"/>
    <xf numFmtId="0" fontId="22" fillId="23" borderId="0" xfId="2" applyFont="1" applyFill="1" applyAlignment="1">
      <alignment vertical="top"/>
    </xf>
    <xf numFmtId="0" fontId="15" fillId="23" borderId="0" xfId="2" applyFont="1" applyFill="1" applyAlignment="1">
      <alignment vertical="top" wrapText="1"/>
    </xf>
    <xf numFmtId="0" fontId="63" fillId="23" borderId="0" xfId="2" applyFont="1" applyFill="1"/>
    <xf numFmtId="0" fontId="63" fillId="23" borderId="0" xfId="2" applyFont="1" applyFill="1" applyAlignment="1">
      <alignment horizontal="justify"/>
    </xf>
    <xf numFmtId="2" fontId="22" fillId="23" borderId="0" xfId="2" applyNumberFormat="1" applyFont="1" applyFill="1" applyAlignment="1">
      <alignment horizontal="center"/>
    </xf>
    <xf numFmtId="2" fontId="16" fillId="23" borderId="0" xfId="2" applyNumberFormat="1" applyFont="1" applyFill="1" applyBorder="1" applyAlignment="1">
      <alignment horizontal="center" vertical="top"/>
    </xf>
    <xf numFmtId="0" fontId="16" fillId="23" borderId="0" xfId="2" applyFont="1" applyFill="1" applyAlignment="1">
      <alignment horizontal="left" vertical="top"/>
    </xf>
    <xf numFmtId="0" fontId="16" fillId="23" borderId="0" xfId="2" applyFont="1" applyFill="1" applyAlignment="1">
      <alignment horizontal="left"/>
    </xf>
    <xf numFmtId="2" fontId="26" fillId="23" borderId="0" xfId="2" applyNumberFormat="1" applyFont="1" applyFill="1" applyAlignment="1">
      <alignment horizontal="center"/>
    </xf>
    <xf numFmtId="2" fontId="16" fillId="23" borderId="0" xfId="2" applyNumberFormat="1" applyFont="1" applyFill="1" applyAlignment="1">
      <alignment horizontal="center"/>
    </xf>
    <xf numFmtId="2" fontId="16" fillId="23" borderId="0" xfId="2" applyNumberFormat="1" applyFont="1" applyFill="1" applyAlignment="1">
      <alignment horizontal="left"/>
    </xf>
    <xf numFmtId="0" fontId="32" fillId="23" borderId="0" xfId="3" applyFill="1"/>
    <xf numFmtId="0" fontId="15" fillId="23" borderId="0" xfId="3" applyFont="1" applyFill="1"/>
    <xf numFmtId="0" fontId="33" fillId="23" borderId="0" xfId="3" applyFont="1" applyFill="1"/>
    <xf numFmtId="0" fontId="39" fillId="23" borderId="0" xfId="3" applyFont="1" applyFill="1"/>
    <xf numFmtId="0" fontId="32" fillId="23" borderId="0" xfId="3" applyFill="1" applyAlignment="1">
      <alignment horizontal="center"/>
    </xf>
    <xf numFmtId="169" fontId="32" fillId="23" borderId="0" xfId="3" applyNumberFormat="1" applyFill="1"/>
    <xf numFmtId="170" fontId="0" fillId="27" borderId="0" xfId="6" applyNumberFormat="1" applyFont="1" applyFill="1" applyBorder="1" applyAlignment="1">
      <alignment horizontal="center" vertical="center" wrapText="1"/>
    </xf>
    <xf numFmtId="170" fontId="0" fillId="27" borderId="0" xfId="6" applyNumberFormat="1" applyFont="1" applyFill="1" applyBorder="1" applyAlignment="1">
      <alignment horizontal="center"/>
    </xf>
    <xf numFmtId="0" fontId="1" fillId="23" borderId="0" xfId="1" applyFill="1"/>
    <xf numFmtId="0" fontId="1" fillId="23" borderId="0" xfId="1" applyFill="1" applyProtection="1">
      <protection hidden="1"/>
    </xf>
    <xf numFmtId="0" fontId="4" fillId="23" borderId="0" xfId="1" applyFont="1" applyFill="1" applyBorder="1" applyAlignment="1">
      <alignment horizontal="center" vertical="center"/>
    </xf>
    <xf numFmtId="0" fontId="1" fillId="23" borderId="0" xfId="1" applyFont="1" applyFill="1"/>
    <xf numFmtId="0" fontId="0" fillId="0" borderId="0" xfId="0" applyNumberFormat="1" applyProtection="1"/>
    <xf numFmtId="0" fontId="0" fillId="0" borderId="0" xfId="0" applyNumberFormat="1" applyAlignment="1" applyProtection="1">
      <alignment horizontal="center"/>
    </xf>
    <xf numFmtId="0" fontId="0" fillId="0" borderId="0" xfId="0" applyNumberFormat="1" applyAlignment="1" applyProtection="1">
      <alignment horizontal="left"/>
    </xf>
    <xf numFmtId="0" fontId="72" fillId="0" borderId="0" xfId="0" applyNumberFormat="1" applyFont="1" applyProtection="1"/>
    <xf numFmtId="0" fontId="0" fillId="0" borderId="0" xfId="0" applyNumberFormat="1" applyFont="1" applyProtection="1"/>
    <xf numFmtId="9" fontId="70" fillId="0" borderId="0" xfId="9" applyFont="1" applyAlignment="1" applyProtection="1">
      <alignment horizontal="center"/>
    </xf>
    <xf numFmtId="0" fontId="0" fillId="0" borderId="0" xfId="0" quotePrefix="1" applyNumberFormat="1" applyAlignment="1" applyProtection="1">
      <alignment horizontal="left" vertical="top" wrapText="1"/>
    </xf>
    <xf numFmtId="49" fontId="0" fillId="0" borderId="0" xfId="0" applyNumberFormat="1" applyProtection="1"/>
    <xf numFmtId="0" fontId="75" fillId="0" borderId="79" xfId="0" applyNumberFormat="1" applyFont="1" applyBorder="1" applyAlignment="1" applyProtection="1">
      <alignment horizontal="center"/>
    </xf>
    <xf numFmtId="49" fontId="75" fillId="0" borderId="14" xfId="0" applyNumberFormat="1" applyFont="1" applyBorder="1" applyProtection="1"/>
    <xf numFmtId="0" fontId="75" fillId="0" borderId="37" xfId="0" applyNumberFormat="1" applyFont="1" applyBorder="1" applyAlignment="1" applyProtection="1">
      <alignment horizontal="left"/>
    </xf>
    <xf numFmtId="0" fontId="0" fillId="0" borderId="35" xfId="0" applyNumberFormat="1" applyBorder="1" applyProtection="1"/>
    <xf numFmtId="0" fontId="76" fillId="0" borderId="0" xfId="0" applyFont="1" applyBorder="1" applyProtection="1"/>
    <xf numFmtId="0" fontId="0" fillId="0" borderId="36" xfId="0" applyNumberFormat="1" applyBorder="1" applyAlignment="1" applyProtection="1">
      <alignment horizontal="left"/>
    </xf>
    <xf numFmtId="0" fontId="0" fillId="0" borderId="36" xfId="0" applyNumberFormat="1" applyBorder="1" applyProtection="1"/>
    <xf numFmtId="0" fontId="0" fillId="0" borderId="36" xfId="0" applyNumberFormat="1" applyFont="1" applyBorder="1" applyProtection="1"/>
    <xf numFmtId="0" fontId="0" fillId="0" borderId="7" xfId="0" applyNumberFormat="1" applyBorder="1" applyProtection="1"/>
    <xf numFmtId="0" fontId="0" fillId="0" borderId="15" xfId="0" applyNumberFormat="1" applyBorder="1" applyProtection="1"/>
    <xf numFmtId="0" fontId="0" fillId="0" borderId="8" xfId="0" applyNumberFormat="1" applyBorder="1" applyProtection="1"/>
    <xf numFmtId="0" fontId="75" fillId="0" borderId="35" xfId="0" applyNumberFormat="1" applyFont="1" applyBorder="1" applyAlignment="1" applyProtection="1">
      <alignment horizontal="center"/>
    </xf>
    <xf numFmtId="49" fontId="75" fillId="0" borderId="0" xfId="0" applyNumberFormat="1" applyFont="1" applyBorder="1" applyProtection="1"/>
    <xf numFmtId="0" fontId="75" fillId="0" borderId="36" xfId="0" applyNumberFormat="1" applyFont="1" applyBorder="1" applyAlignment="1" applyProtection="1">
      <alignment horizontal="left"/>
    </xf>
    <xf numFmtId="0" fontId="0" fillId="0" borderId="0" xfId="0" applyNumberFormat="1" applyBorder="1" applyAlignment="1" applyProtection="1">
      <alignment horizontal="center"/>
    </xf>
    <xf numFmtId="0" fontId="0" fillId="0" borderId="0" xfId="0" applyNumberFormat="1" applyBorder="1" applyProtection="1"/>
    <xf numFmtId="49" fontId="79" fillId="0" borderId="0" xfId="0" quotePrefix="1" applyNumberFormat="1" applyFont="1" applyBorder="1" applyAlignment="1" applyProtection="1">
      <alignment vertical="top" wrapText="1"/>
    </xf>
    <xf numFmtId="49" fontId="75" fillId="0" borderId="35" xfId="0" applyNumberFormat="1" applyFont="1" applyBorder="1" applyAlignment="1" applyProtection="1">
      <alignment horizontal="center"/>
    </xf>
    <xf numFmtId="0" fontId="75" fillId="0" borderId="0" xfId="0" applyNumberFormat="1" applyFont="1" applyBorder="1" applyProtection="1"/>
    <xf numFmtId="0" fontId="70" fillId="0" borderId="35" xfId="0" applyNumberFormat="1" applyFont="1" applyFill="1" applyBorder="1" applyAlignment="1" applyProtection="1">
      <alignment horizontal="center"/>
    </xf>
    <xf numFmtId="0" fontId="78" fillId="29" borderId="45" xfId="0" applyNumberFormat="1" applyFont="1" applyFill="1" applyBorder="1" applyAlignment="1" applyProtection="1">
      <alignment horizontal="center"/>
    </xf>
    <xf numFmtId="0" fontId="70" fillId="29" borderId="84" xfId="0" applyNumberFormat="1" applyFont="1" applyFill="1" applyBorder="1" applyAlignment="1" applyProtection="1">
      <alignment horizontal="center"/>
    </xf>
    <xf numFmtId="0" fontId="0" fillId="0" borderId="0" xfId="0" applyNumberFormat="1" applyBorder="1" applyAlignment="1" applyProtection="1">
      <alignment horizontal="left"/>
    </xf>
    <xf numFmtId="0" fontId="70" fillId="0" borderId="35" xfId="0" applyNumberFormat="1" applyFont="1" applyBorder="1" applyAlignment="1" applyProtection="1">
      <alignment horizontal="center"/>
    </xf>
    <xf numFmtId="0" fontId="80" fillId="0" borderId="0" xfId="0" applyFont="1" applyProtection="1"/>
    <xf numFmtId="0" fontId="0" fillId="0" borderId="79" xfId="0" applyNumberFormat="1" applyBorder="1" applyAlignment="1" applyProtection="1">
      <alignment horizontal="center"/>
    </xf>
    <xf numFmtId="0" fontId="0" fillId="0" borderId="14" xfId="0" applyNumberFormat="1" applyBorder="1" applyProtection="1"/>
    <xf numFmtId="0" fontId="0" fillId="0" borderId="37" xfId="0" applyNumberFormat="1" applyBorder="1" applyAlignment="1" applyProtection="1">
      <alignment horizontal="left"/>
    </xf>
    <xf numFmtId="0" fontId="0" fillId="0" borderId="0" xfId="0" applyNumberFormat="1" applyFill="1" applyBorder="1" applyProtection="1"/>
    <xf numFmtId="0" fontId="70" fillId="0" borderId="0" xfId="0" applyNumberFormat="1" applyFont="1" applyAlignment="1" applyProtection="1">
      <alignment horizontal="center"/>
    </xf>
    <xf numFmtId="0" fontId="70" fillId="29" borderId="44" xfId="0" applyNumberFormat="1" applyFont="1" applyFill="1" applyBorder="1" applyAlignment="1" applyProtection="1">
      <alignment horizontal="center"/>
    </xf>
    <xf numFmtId="0" fontId="70" fillId="29" borderId="45" xfId="0" applyNumberFormat="1" applyFont="1" applyFill="1" applyBorder="1" applyAlignment="1" applyProtection="1">
      <alignment horizontal="center"/>
    </xf>
    <xf numFmtId="0" fontId="0" fillId="0" borderId="79" xfId="0" applyNumberFormat="1" applyBorder="1" applyProtection="1"/>
    <xf numFmtId="0" fontId="0" fillId="0" borderId="14" xfId="0" applyNumberFormat="1" applyBorder="1" applyAlignment="1" applyProtection="1">
      <alignment horizontal="center"/>
    </xf>
    <xf numFmtId="0" fontId="0" fillId="0" borderId="14" xfId="0" applyNumberFormat="1" applyBorder="1" applyAlignment="1" applyProtection="1">
      <alignment horizontal="left"/>
    </xf>
    <xf numFmtId="0" fontId="0" fillId="0" borderId="37" xfId="0" applyNumberFormat="1" applyBorder="1" applyProtection="1"/>
    <xf numFmtId="0" fontId="81" fillId="30" borderId="79" xfId="0" applyNumberFormat="1" applyFont="1" applyFill="1" applyBorder="1" applyAlignment="1" applyProtection="1">
      <alignment horizontal="center"/>
    </xf>
    <xf numFmtId="0" fontId="75" fillId="30" borderId="14" xfId="0" applyNumberFormat="1" applyFont="1" applyFill="1" applyBorder="1" applyAlignment="1" applyProtection="1">
      <alignment horizontal="center" vertical="center" wrapText="1"/>
    </xf>
    <xf numFmtId="0" fontId="81" fillId="30" borderId="14" xfId="0" applyNumberFormat="1" applyFont="1" applyFill="1" applyBorder="1" applyAlignment="1" applyProtection="1">
      <alignment horizontal="center"/>
    </xf>
    <xf numFmtId="0" fontId="81" fillId="30" borderId="37" xfId="0" applyNumberFormat="1" applyFont="1" applyFill="1" applyBorder="1" applyAlignment="1" applyProtection="1">
      <alignment horizontal="center"/>
    </xf>
    <xf numFmtId="0" fontId="70" fillId="28" borderId="3" xfId="0" applyNumberFormat="1" applyFont="1" applyFill="1" applyBorder="1" applyAlignment="1" applyProtection="1">
      <alignment horizontal="center"/>
    </xf>
    <xf numFmtId="0" fontId="81" fillId="30" borderId="0" xfId="0" applyNumberFormat="1" applyFont="1" applyFill="1" applyBorder="1" applyAlignment="1" applyProtection="1">
      <alignment horizontal="center"/>
    </xf>
    <xf numFmtId="176" fontId="70" fillId="31" borderId="10" xfId="0" applyNumberFormat="1" applyFont="1" applyFill="1" applyBorder="1" applyAlignment="1" applyProtection="1">
      <alignment horizontal="center"/>
    </xf>
    <xf numFmtId="9" fontId="70" fillId="31" borderId="81" xfId="0" applyNumberFormat="1" applyFont="1" applyFill="1" applyBorder="1" applyAlignment="1" applyProtection="1">
      <alignment horizontal="center"/>
    </xf>
    <xf numFmtId="10" fontId="70" fillId="31" borderId="81" xfId="0" applyNumberFormat="1" applyFont="1" applyFill="1" applyBorder="1" applyAlignment="1" applyProtection="1">
      <alignment horizontal="center"/>
    </xf>
    <xf numFmtId="176" fontId="82" fillId="30" borderId="0" xfId="0" applyNumberFormat="1" applyFont="1" applyFill="1" applyBorder="1" applyAlignment="1" applyProtection="1">
      <alignment horizontal="center"/>
    </xf>
    <xf numFmtId="176" fontId="0" fillId="30" borderId="0" xfId="0" applyNumberFormat="1" applyFill="1" applyBorder="1" applyProtection="1"/>
    <xf numFmtId="0" fontId="84" fillId="30" borderId="44" xfId="0" applyNumberFormat="1" applyFont="1" applyFill="1" applyBorder="1" applyAlignment="1" applyProtection="1">
      <alignment vertical="center"/>
    </xf>
    <xf numFmtId="0" fontId="70" fillId="30" borderId="35" xfId="0" applyNumberFormat="1" applyFont="1" applyFill="1" applyBorder="1" applyAlignment="1" applyProtection="1">
      <alignment horizontal="center"/>
    </xf>
    <xf numFmtId="0" fontId="81" fillId="30" borderId="82" xfId="0" applyNumberFormat="1" applyFont="1" applyFill="1" applyBorder="1" applyAlignment="1" applyProtection="1">
      <alignment horizontal="center"/>
    </xf>
    <xf numFmtId="0" fontId="84" fillId="30" borderId="78" xfId="0" applyNumberFormat="1" applyFont="1" applyFill="1" applyBorder="1" applyAlignment="1" applyProtection="1">
      <alignment vertical="center"/>
    </xf>
    <xf numFmtId="9" fontId="74" fillId="30" borderId="0" xfId="0" applyNumberFormat="1" applyFont="1" applyFill="1" applyBorder="1" applyAlignment="1" applyProtection="1">
      <alignment horizontal="center"/>
    </xf>
    <xf numFmtId="176" fontId="0" fillId="30" borderId="36" xfId="0" applyNumberFormat="1" applyFill="1" applyBorder="1" applyProtection="1"/>
    <xf numFmtId="0" fontId="88" fillId="0" borderId="0" xfId="0" applyNumberFormat="1" applyFont="1" applyProtection="1"/>
    <xf numFmtId="0" fontId="81" fillId="30" borderId="35" xfId="0" applyNumberFormat="1" applyFont="1" applyFill="1" applyBorder="1" applyAlignment="1" applyProtection="1">
      <alignment horizontal="center"/>
    </xf>
    <xf numFmtId="0" fontId="70" fillId="0" borderId="0" xfId="0" applyNumberFormat="1" applyFont="1" applyProtection="1"/>
    <xf numFmtId="0" fontId="89" fillId="0" borderId="0" xfId="0" applyNumberFormat="1" applyFont="1" applyProtection="1"/>
    <xf numFmtId="0" fontId="81" fillId="30" borderId="7" xfId="0" applyNumberFormat="1" applyFont="1" applyFill="1" applyBorder="1" applyAlignment="1" applyProtection="1">
      <alignment horizontal="center"/>
    </xf>
    <xf numFmtId="0" fontId="81" fillId="30" borderId="15" xfId="0" applyNumberFormat="1" applyFont="1" applyFill="1" applyBorder="1" applyAlignment="1" applyProtection="1">
      <alignment horizontal="center"/>
    </xf>
    <xf numFmtId="0" fontId="0" fillId="30" borderId="15" xfId="0" applyNumberFormat="1" applyFill="1" applyBorder="1" applyProtection="1"/>
    <xf numFmtId="9" fontId="74" fillId="30" borderId="15" xfId="0" applyNumberFormat="1" applyFont="1" applyFill="1" applyBorder="1" applyAlignment="1" applyProtection="1">
      <alignment horizontal="center"/>
    </xf>
    <xf numFmtId="176" fontId="0" fillId="30" borderId="8" xfId="0" applyNumberFormat="1" applyFill="1" applyBorder="1" applyProtection="1"/>
    <xf numFmtId="0" fontId="84" fillId="30" borderId="84" xfId="0" applyNumberFormat="1" applyFont="1" applyFill="1" applyBorder="1" applyAlignment="1" applyProtection="1">
      <alignment vertical="center"/>
    </xf>
    <xf numFmtId="10" fontId="0" fillId="0" borderId="0" xfId="0" applyNumberFormat="1" applyBorder="1" applyProtection="1"/>
    <xf numFmtId="0" fontId="84" fillId="0" borderId="44" xfId="0" quotePrefix="1" applyNumberFormat="1" applyFont="1" applyBorder="1" applyAlignment="1" applyProtection="1">
      <alignment vertical="top" wrapText="1"/>
    </xf>
    <xf numFmtId="0" fontId="74" fillId="30" borderId="45" xfId="0" applyNumberFormat="1" applyFont="1" applyFill="1" applyBorder="1" applyAlignment="1" applyProtection="1">
      <alignment horizontal="center" vertical="center" textRotation="90" wrapText="1"/>
    </xf>
    <xf numFmtId="0" fontId="0" fillId="0" borderId="15" xfId="0" applyNumberFormat="1" applyBorder="1" applyAlignment="1" applyProtection="1">
      <alignment horizontal="center"/>
    </xf>
    <xf numFmtId="0" fontId="91" fillId="30" borderId="23" xfId="0" applyNumberFormat="1" applyFont="1" applyFill="1" applyBorder="1" applyAlignment="1" applyProtection="1">
      <alignment horizontal="center"/>
    </xf>
    <xf numFmtId="0" fontId="91" fillId="30" borderId="24" xfId="0" applyNumberFormat="1" applyFont="1" applyFill="1" applyBorder="1" applyAlignment="1" applyProtection="1">
      <alignment horizontal="center"/>
    </xf>
    <xf numFmtId="0" fontId="92" fillId="30" borderId="45" xfId="0" applyNumberFormat="1" applyFont="1" applyFill="1" applyBorder="1" applyAlignment="1" applyProtection="1">
      <alignment horizontal="center"/>
    </xf>
    <xf numFmtId="0" fontId="92" fillId="2" borderId="84" xfId="0" applyNumberFormat="1" applyFont="1" applyFill="1" applyBorder="1" applyAlignment="1" applyProtection="1">
      <alignment horizontal="center" vertical="center"/>
    </xf>
    <xf numFmtId="177" fontId="82" fillId="30" borderId="0" xfId="0" applyNumberFormat="1" applyFont="1" applyFill="1" applyBorder="1" applyAlignment="1" applyProtection="1">
      <alignment horizontal="center"/>
    </xf>
    <xf numFmtId="0" fontId="0" fillId="30" borderId="35" xfId="0" applyNumberFormat="1" applyFill="1" applyBorder="1" applyProtection="1"/>
    <xf numFmtId="0" fontId="0" fillId="30" borderId="0" xfId="0" applyNumberFormat="1" applyFill="1" applyBorder="1" applyProtection="1"/>
    <xf numFmtId="0" fontId="0" fillId="30" borderId="0" xfId="0" applyNumberFormat="1" applyFill="1" applyBorder="1" applyAlignment="1" applyProtection="1">
      <alignment horizontal="center"/>
    </xf>
    <xf numFmtId="0" fontId="0" fillId="30" borderId="7" xfId="0" applyNumberFormat="1" applyFill="1" applyBorder="1" applyProtection="1"/>
    <xf numFmtId="0" fontId="0" fillId="30" borderId="15" xfId="0" applyNumberFormat="1" applyFill="1" applyBorder="1" applyAlignment="1" applyProtection="1">
      <alignment horizontal="center"/>
    </xf>
    <xf numFmtId="176" fontId="0" fillId="30" borderId="15" xfId="0" applyNumberFormat="1" applyFill="1" applyBorder="1" applyProtection="1"/>
    <xf numFmtId="0" fontId="0" fillId="0" borderId="0" xfId="0" applyNumberFormat="1" applyFill="1" applyProtection="1"/>
    <xf numFmtId="0" fontId="0" fillId="0" borderId="35" xfId="0" applyNumberFormat="1" applyFill="1" applyBorder="1" applyProtection="1"/>
    <xf numFmtId="0" fontId="93" fillId="0" borderId="45" xfId="0" quotePrefix="1" applyNumberFormat="1" applyFont="1" applyBorder="1" applyAlignment="1" applyProtection="1">
      <alignment horizontal="left" vertical="top" wrapText="1"/>
    </xf>
    <xf numFmtId="0" fontId="93" fillId="0" borderId="0" xfId="0" quotePrefix="1" applyNumberFormat="1" applyFont="1" applyBorder="1" applyAlignment="1" applyProtection="1">
      <alignment horizontal="left" vertical="top" wrapText="1"/>
    </xf>
    <xf numFmtId="0" fontId="0" fillId="30" borderId="14" xfId="0" applyNumberFormat="1" applyFill="1" applyBorder="1" applyAlignment="1" applyProtection="1">
      <alignment horizontal="center"/>
    </xf>
    <xf numFmtId="177" fontId="94" fillId="30" borderId="14" xfId="0" applyNumberFormat="1" applyFont="1" applyFill="1" applyBorder="1" applyAlignment="1" applyProtection="1">
      <alignment horizontal="center"/>
    </xf>
    <xf numFmtId="0" fontId="94" fillId="30" borderId="37" xfId="0" applyNumberFormat="1" applyFont="1" applyFill="1" applyBorder="1" applyAlignment="1" applyProtection="1">
      <alignment horizontal="center"/>
    </xf>
    <xf numFmtId="0" fontId="95" fillId="0" borderId="0" xfId="0" applyNumberFormat="1" applyFont="1" applyProtection="1"/>
    <xf numFmtId="0" fontId="95" fillId="0" borderId="0" xfId="0" applyNumberFormat="1" applyFont="1" applyAlignment="1" applyProtection="1">
      <alignment horizontal="center"/>
    </xf>
    <xf numFmtId="9" fontId="72" fillId="31" borderId="10" xfId="9" applyNumberFormat="1" applyFont="1" applyFill="1" applyBorder="1" applyAlignment="1" applyProtection="1">
      <alignment horizontal="center"/>
    </xf>
    <xf numFmtId="178" fontId="82" fillId="30" borderId="0" xfId="0" applyNumberFormat="1" applyFont="1" applyFill="1" applyBorder="1" applyAlignment="1" applyProtection="1">
      <alignment horizontal="center"/>
    </xf>
    <xf numFmtId="179" fontId="94" fillId="30" borderId="0" xfId="0" applyNumberFormat="1" applyFont="1" applyFill="1" applyBorder="1" applyAlignment="1" applyProtection="1">
      <alignment horizontal="center"/>
      <protection locked="0"/>
    </xf>
    <xf numFmtId="0" fontId="0" fillId="30" borderId="36" xfId="0" applyNumberFormat="1" applyFill="1" applyBorder="1" applyAlignment="1" applyProtection="1">
      <alignment horizontal="center"/>
    </xf>
    <xf numFmtId="9" fontId="75" fillId="30" borderId="0" xfId="0" applyNumberFormat="1" applyFont="1" applyFill="1" applyBorder="1" applyAlignment="1" applyProtection="1">
      <alignment horizontal="center"/>
    </xf>
    <xf numFmtId="177" fontId="74" fillId="30" borderId="0" xfId="0" applyNumberFormat="1" applyFont="1" applyFill="1" applyBorder="1" applyAlignment="1" applyProtection="1">
      <alignment horizontal="center"/>
    </xf>
    <xf numFmtId="176" fontId="0" fillId="30" borderId="36" xfId="0" applyNumberFormat="1" applyFill="1" applyBorder="1" applyProtection="1">
      <protection locked="0"/>
    </xf>
    <xf numFmtId="0" fontId="14" fillId="0" borderId="0" xfId="0" applyNumberFormat="1" applyFont="1" applyProtection="1"/>
    <xf numFmtId="0" fontId="14" fillId="0" borderId="0" xfId="0" applyNumberFormat="1" applyFont="1" applyAlignment="1" applyProtection="1">
      <alignment horizontal="center"/>
    </xf>
    <xf numFmtId="9" fontId="81" fillId="30" borderId="0" xfId="0" applyNumberFormat="1" applyFont="1" applyFill="1" applyBorder="1" applyAlignment="1" applyProtection="1">
      <alignment horizontal="center"/>
    </xf>
    <xf numFmtId="0" fontId="89" fillId="0" borderId="0" xfId="0" applyNumberFormat="1" applyFont="1" applyAlignment="1" applyProtection="1">
      <alignment horizontal="center"/>
    </xf>
    <xf numFmtId="0" fontId="97" fillId="0" borderId="0" xfId="0" applyNumberFormat="1" applyFont="1" applyAlignment="1" applyProtection="1">
      <alignment horizontal="left"/>
    </xf>
    <xf numFmtId="0" fontId="0" fillId="30" borderId="15" xfId="0" applyNumberFormat="1" applyFont="1" applyFill="1" applyBorder="1" applyAlignment="1" applyProtection="1">
      <alignment horizontal="center"/>
    </xf>
    <xf numFmtId="49" fontId="93" fillId="0" borderId="78" xfId="0" quotePrefix="1" applyNumberFormat="1" applyFont="1" applyBorder="1" applyAlignment="1" applyProtection="1">
      <alignment vertical="top" wrapText="1"/>
    </xf>
    <xf numFmtId="0" fontId="0" fillId="30" borderId="79" xfId="0" applyNumberFormat="1" applyFill="1" applyBorder="1" applyProtection="1"/>
    <xf numFmtId="0" fontId="0" fillId="30" borderId="14" xfId="0" applyNumberFormat="1" applyFill="1" applyBorder="1" applyProtection="1"/>
    <xf numFmtId="176" fontId="94" fillId="30" borderId="14" xfId="0" applyNumberFormat="1" applyFont="1" applyFill="1" applyBorder="1" applyAlignment="1" applyProtection="1">
      <alignment horizontal="center"/>
    </xf>
    <xf numFmtId="0" fontId="0" fillId="30" borderId="0" xfId="0" applyNumberFormat="1" applyFont="1" applyFill="1" applyBorder="1" applyProtection="1"/>
    <xf numFmtId="9" fontId="70" fillId="31" borderId="10" xfId="0" applyNumberFormat="1" applyFont="1" applyFill="1" applyBorder="1" applyAlignment="1" applyProtection="1">
      <alignment horizontal="center"/>
    </xf>
    <xf numFmtId="176" fontId="94" fillId="30" borderId="0" xfId="0" applyNumberFormat="1" applyFont="1" applyFill="1" applyBorder="1" applyAlignment="1" applyProtection="1">
      <alignment horizontal="center"/>
      <protection locked="0"/>
    </xf>
    <xf numFmtId="176" fontId="74" fillId="30" borderId="0" xfId="0" applyNumberFormat="1" applyFont="1" applyFill="1" applyBorder="1" applyAlignment="1" applyProtection="1">
      <alignment horizontal="center"/>
    </xf>
    <xf numFmtId="0" fontId="0" fillId="0" borderId="78" xfId="0" applyNumberFormat="1" applyBorder="1" applyProtection="1"/>
    <xf numFmtId="9" fontId="14" fillId="0" borderId="0" xfId="0" applyNumberFormat="1" applyFont="1" applyAlignment="1" applyProtection="1">
      <alignment horizontal="left"/>
    </xf>
    <xf numFmtId="0" fontId="98" fillId="0" borderId="0" xfId="0" applyNumberFormat="1" applyFont="1" applyProtection="1"/>
    <xf numFmtId="0" fontId="98" fillId="0" borderId="0" xfId="0" applyNumberFormat="1" applyFont="1" applyAlignment="1" applyProtection="1">
      <alignment horizontal="center"/>
    </xf>
    <xf numFmtId="0" fontId="95" fillId="0" borderId="0" xfId="0" applyNumberFormat="1" applyFont="1" applyAlignment="1" applyProtection="1">
      <alignment horizontal="left"/>
    </xf>
    <xf numFmtId="177" fontId="99" fillId="30" borderId="7" xfId="0" applyNumberFormat="1" applyFont="1" applyFill="1" applyBorder="1" applyAlignment="1" applyProtection="1">
      <alignment horizontal="center"/>
    </xf>
    <xf numFmtId="176" fontId="74" fillId="30" borderId="15" xfId="0" applyNumberFormat="1" applyFont="1" applyFill="1" applyBorder="1" applyAlignment="1" applyProtection="1">
      <alignment horizontal="center"/>
    </xf>
    <xf numFmtId="176" fontId="0" fillId="30" borderId="8" xfId="0" applyNumberFormat="1" applyFill="1" applyBorder="1" applyProtection="1">
      <protection locked="0"/>
    </xf>
    <xf numFmtId="176" fontId="0" fillId="0" borderId="0" xfId="0" applyNumberFormat="1" applyBorder="1" applyProtection="1"/>
    <xf numFmtId="178" fontId="0" fillId="0" borderId="0" xfId="0" applyNumberFormat="1" applyBorder="1" applyAlignment="1" applyProtection="1">
      <alignment horizontal="center"/>
    </xf>
    <xf numFmtId="0" fontId="84" fillId="0" borderId="45" xfId="0" quotePrefix="1" applyNumberFormat="1" applyFont="1" applyBorder="1" applyAlignment="1" applyProtection="1">
      <alignment horizontal="left" vertical="top" wrapText="1"/>
    </xf>
    <xf numFmtId="0" fontId="0" fillId="33" borderId="0" xfId="0" applyNumberFormat="1" applyFill="1" applyProtection="1"/>
    <xf numFmtId="10" fontId="70" fillId="31" borderId="3" xfId="0" applyNumberFormat="1" applyFont="1" applyFill="1" applyBorder="1" applyAlignment="1" applyProtection="1">
      <alignment horizontal="center"/>
    </xf>
    <xf numFmtId="0" fontId="0" fillId="30" borderId="90" xfId="0" applyNumberFormat="1" applyFill="1" applyBorder="1" applyProtection="1"/>
    <xf numFmtId="0" fontId="92" fillId="2" borderId="45" xfId="0" applyNumberFormat="1" applyFont="1" applyFill="1" applyBorder="1" applyAlignment="1" applyProtection="1">
      <alignment horizontal="center" vertical="center"/>
    </xf>
    <xf numFmtId="9" fontId="14" fillId="0" borderId="0" xfId="0" applyNumberFormat="1" applyFont="1" applyProtection="1"/>
    <xf numFmtId="9" fontId="75" fillId="33" borderId="0" xfId="0" applyNumberFormat="1" applyFont="1" applyFill="1" applyBorder="1" applyAlignment="1" applyProtection="1">
      <alignment horizontal="center"/>
    </xf>
    <xf numFmtId="9" fontId="81" fillId="30" borderId="35" xfId="0" applyNumberFormat="1" applyFont="1" applyFill="1" applyBorder="1" applyAlignment="1" applyProtection="1">
      <alignment horizontal="center"/>
    </xf>
    <xf numFmtId="9" fontId="89" fillId="0" borderId="0" xfId="0" applyNumberFormat="1" applyFont="1" applyProtection="1"/>
    <xf numFmtId="9" fontId="89" fillId="0" borderId="0" xfId="0" applyNumberFormat="1" applyFont="1" applyAlignment="1" applyProtection="1">
      <alignment horizontal="center"/>
    </xf>
    <xf numFmtId="9" fontId="102" fillId="0" borderId="0" xfId="0" applyNumberFormat="1" applyFont="1" applyAlignment="1" applyProtection="1">
      <alignment horizontal="left"/>
    </xf>
    <xf numFmtId="0" fontId="103" fillId="30" borderId="35" xfId="0" applyNumberFormat="1" applyFont="1" applyFill="1" applyBorder="1" applyProtection="1"/>
    <xf numFmtId="0" fontId="104" fillId="0" borderId="0" xfId="0" applyNumberFormat="1" applyFont="1" applyBorder="1" applyAlignment="1" applyProtection="1">
      <alignment vertical="center"/>
    </xf>
    <xf numFmtId="0" fontId="0" fillId="0" borderId="14" xfId="0" applyNumberFormat="1" applyBorder="1" applyAlignment="1" applyProtection="1"/>
    <xf numFmtId="0" fontId="84" fillId="0" borderId="0" xfId="0" quotePrefix="1" applyNumberFormat="1" applyFont="1" applyBorder="1" applyAlignment="1" applyProtection="1">
      <alignment horizontal="left" vertical="top" wrapText="1"/>
    </xf>
    <xf numFmtId="0" fontId="105" fillId="0" borderId="0" xfId="0" applyNumberFormat="1" applyFont="1" applyFill="1" applyBorder="1" applyAlignment="1" applyProtection="1">
      <alignment vertical="center" wrapText="1"/>
    </xf>
    <xf numFmtId="0" fontId="70" fillId="0" borderId="0" xfId="0" applyNumberFormat="1" applyFont="1" applyFill="1" applyBorder="1" applyAlignment="1" applyProtection="1">
      <alignment vertical="center"/>
    </xf>
    <xf numFmtId="0" fontId="0" fillId="0" borderId="15" xfId="0" applyNumberFormat="1" applyBorder="1" applyAlignment="1" applyProtection="1">
      <alignment horizontal="left"/>
    </xf>
    <xf numFmtId="176" fontId="0" fillId="0" borderId="0" xfId="0" applyNumberFormat="1" applyFill="1" applyBorder="1" applyProtection="1"/>
    <xf numFmtId="176" fontId="0" fillId="0" borderId="14" xfId="0" applyNumberFormat="1" applyFill="1" applyBorder="1" applyProtection="1"/>
    <xf numFmtId="0" fontId="0" fillId="0" borderId="0" xfId="0" applyNumberFormat="1" applyFill="1" applyBorder="1" applyAlignment="1" applyProtection="1">
      <alignment horizontal="center"/>
    </xf>
    <xf numFmtId="177" fontId="0" fillId="0" borderId="0" xfId="0" applyNumberFormat="1" applyFill="1" applyBorder="1" applyProtection="1"/>
    <xf numFmtId="177" fontId="81" fillId="0" borderId="0" xfId="0" applyNumberFormat="1" applyFont="1" applyFill="1" applyBorder="1" applyProtection="1"/>
    <xf numFmtId="0" fontId="0" fillId="0" borderId="44" xfId="0" applyNumberFormat="1" applyBorder="1" applyProtection="1"/>
    <xf numFmtId="177" fontId="70" fillId="0" borderId="0" xfId="0" applyNumberFormat="1" applyFont="1" applyFill="1" applyBorder="1" applyAlignment="1" applyProtection="1"/>
    <xf numFmtId="0" fontId="70" fillId="0" borderId="45" xfId="0" applyNumberFormat="1" applyFont="1" applyBorder="1" applyProtection="1"/>
    <xf numFmtId="0" fontId="70" fillId="0" borderId="23" xfId="0" applyNumberFormat="1" applyFont="1" applyBorder="1" applyAlignment="1" applyProtection="1">
      <alignment horizontal="left"/>
    </xf>
    <xf numFmtId="0" fontId="70" fillId="0" borderId="25" xfId="0" applyNumberFormat="1" applyFont="1" applyBorder="1" applyAlignment="1" applyProtection="1">
      <alignment horizontal="left"/>
    </xf>
    <xf numFmtId="0" fontId="70" fillId="0" borderId="84" xfId="0" applyNumberFormat="1" applyFont="1" applyBorder="1" applyProtection="1"/>
    <xf numFmtId="0" fontId="106" fillId="0" borderId="0" xfId="0" applyNumberFormat="1" applyFont="1" applyFill="1" applyBorder="1" applyAlignment="1" applyProtection="1">
      <alignment vertical="center" wrapText="1"/>
    </xf>
    <xf numFmtId="0" fontId="78" fillId="0" borderId="25" xfId="0" applyNumberFormat="1" applyFont="1" applyBorder="1" applyAlignment="1" applyProtection="1">
      <alignment horizontal="left"/>
    </xf>
    <xf numFmtId="0" fontId="84" fillId="36" borderId="44" xfId="0" applyNumberFormat="1" applyFont="1" applyFill="1" applyBorder="1" applyAlignment="1" applyProtection="1">
      <alignment vertical="center"/>
    </xf>
    <xf numFmtId="0" fontId="84" fillId="36" borderId="78" xfId="0" applyNumberFormat="1" applyFont="1" applyFill="1" applyBorder="1" applyAlignment="1" applyProtection="1">
      <alignment vertical="center"/>
    </xf>
    <xf numFmtId="0" fontId="84" fillId="36" borderId="84" xfId="0" applyNumberFormat="1" applyFont="1" applyFill="1" applyBorder="1" applyAlignment="1" applyProtection="1">
      <alignment vertical="center"/>
    </xf>
    <xf numFmtId="0" fontId="74" fillId="36" borderId="45" xfId="0" applyNumberFormat="1" applyFont="1" applyFill="1" applyBorder="1" applyAlignment="1" applyProtection="1">
      <alignment horizontal="center" vertical="center" textRotation="90" wrapText="1"/>
    </xf>
    <xf numFmtId="0" fontId="91" fillId="36" borderId="23" xfId="0" applyNumberFormat="1" applyFont="1" applyFill="1" applyBorder="1" applyAlignment="1" applyProtection="1">
      <alignment horizontal="center"/>
    </xf>
    <xf numFmtId="0" fontId="91" fillId="36" borderId="24" xfId="0" applyNumberFormat="1" applyFont="1" applyFill="1" applyBorder="1" applyAlignment="1" applyProtection="1">
      <alignment horizontal="center"/>
    </xf>
    <xf numFmtId="0" fontId="92" fillId="36" borderId="45" xfId="0" applyNumberFormat="1" applyFont="1" applyFill="1" applyBorder="1" applyAlignment="1" applyProtection="1">
      <alignment horizontal="center"/>
    </xf>
    <xf numFmtId="2" fontId="94" fillId="30" borderId="14" xfId="0" applyNumberFormat="1" applyFont="1" applyFill="1" applyBorder="1" applyAlignment="1" applyProtection="1">
      <alignment horizontal="center"/>
    </xf>
    <xf numFmtId="9" fontId="72" fillId="31" borderId="10" xfId="0" applyNumberFormat="1" applyFont="1" applyFill="1" applyBorder="1" applyAlignment="1" applyProtection="1">
      <alignment horizontal="center"/>
    </xf>
    <xf numFmtId="177" fontId="94" fillId="30" borderId="0" xfId="0" applyNumberFormat="1" applyFont="1" applyFill="1" applyBorder="1" applyAlignment="1" applyProtection="1">
      <alignment horizontal="center"/>
      <protection locked="0"/>
    </xf>
    <xf numFmtId="0" fontId="0" fillId="33" borderId="35" xfId="0" applyNumberFormat="1" applyFill="1" applyBorder="1" applyProtection="1"/>
    <xf numFmtId="0" fontId="0" fillId="0" borderId="0" xfId="0" applyNumberFormat="1" applyBorder="1" applyAlignment="1" applyProtection="1"/>
    <xf numFmtId="176" fontId="82" fillId="0" borderId="0" xfId="0" applyNumberFormat="1" applyFont="1" applyFill="1" applyBorder="1" applyAlignment="1" applyProtection="1">
      <alignment horizontal="center"/>
    </xf>
    <xf numFmtId="0" fontId="14" fillId="0" borderId="0" xfId="0" applyNumberFormat="1" applyFont="1" applyFill="1" applyBorder="1" applyProtection="1"/>
    <xf numFmtId="0" fontId="14" fillId="0" borderId="79" xfId="0" applyNumberFormat="1" applyFont="1" applyBorder="1" applyProtection="1"/>
    <xf numFmtId="0" fontId="14" fillId="0" borderId="37" xfId="0" applyNumberFormat="1" applyFont="1" applyBorder="1" applyProtection="1"/>
    <xf numFmtId="0" fontId="0" fillId="0" borderId="79" xfId="0" applyNumberFormat="1" applyBorder="1" applyAlignment="1" applyProtection="1"/>
    <xf numFmtId="0" fontId="0" fillId="0" borderId="37" xfId="0" applyNumberFormat="1" applyBorder="1" applyAlignment="1" applyProtection="1"/>
    <xf numFmtId="0" fontId="14" fillId="0" borderId="7" xfId="0" applyNumberFormat="1" applyFont="1" applyBorder="1" applyProtection="1"/>
    <xf numFmtId="0" fontId="14" fillId="0" borderId="8" xfId="0" applyNumberFormat="1" applyFont="1" applyBorder="1" applyProtection="1"/>
    <xf numFmtId="0" fontId="78" fillId="0" borderId="25" xfId="0" applyNumberFormat="1" applyFont="1" applyBorder="1" applyProtection="1"/>
    <xf numFmtId="0" fontId="0" fillId="0" borderId="7" xfId="0" applyNumberFormat="1" applyBorder="1" applyAlignment="1" applyProtection="1"/>
    <xf numFmtId="0" fontId="0" fillId="0" borderId="15" xfId="0" applyNumberFormat="1" applyBorder="1" applyAlignment="1" applyProtection="1"/>
    <xf numFmtId="0" fontId="0" fillId="0" borderId="8" xfId="0" applyNumberFormat="1" applyBorder="1" applyAlignment="1" applyProtection="1"/>
    <xf numFmtId="176" fontId="102" fillId="0" borderId="0" xfId="0" applyNumberFormat="1" applyFont="1" applyFill="1" applyBorder="1" applyAlignment="1" applyProtection="1"/>
    <xf numFmtId="0" fontId="78" fillId="0" borderId="0" xfId="0" applyNumberFormat="1" applyFont="1" applyFill="1" applyBorder="1" applyAlignment="1" applyProtection="1">
      <alignment horizontal="left"/>
    </xf>
    <xf numFmtId="176" fontId="14" fillId="0" borderId="0" xfId="0" applyNumberFormat="1" applyFont="1" applyFill="1" applyBorder="1" applyAlignment="1" applyProtection="1"/>
    <xf numFmtId="0" fontId="109" fillId="0" borderId="0" xfId="0" applyNumberFormat="1" applyFont="1" applyFill="1" applyBorder="1" applyAlignment="1" applyProtection="1">
      <alignment horizontal="left"/>
    </xf>
    <xf numFmtId="0" fontId="78" fillId="0" borderId="23" xfId="0" applyNumberFormat="1" applyFont="1" applyBorder="1" applyAlignment="1" applyProtection="1">
      <alignment horizontal="left"/>
    </xf>
    <xf numFmtId="0" fontId="70" fillId="0" borderId="0" xfId="0" applyNumberFormat="1" applyFont="1" applyFill="1" applyBorder="1" applyAlignment="1" applyProtection="1"/>
    <xf numFmtId="1" fontId="70" fillId="28" borderId="39" xfId="0" applyNumberFormat="1" applyFont="1" applyFill="1" applyBorder="1" applyAlignment="1" applyProtection="1">
      <alignment horizontal="center"/>
    </xf>
    <xf numFmtId="0" fontId="110" fillId="31" borderId="10" xfId="0" applyNumberFormat="1" applyFont="1" applyFill="1" applyBorder="1" applyAlignment="1" applyProtection="1">
      <alignment horizontal="center" vertical="center"/>
    </xf>
    <xf numFmtId="0" fontId="86" fillId="0" borderId="0" xfId="0" applyNumberFormat="1" applyFont="1" applyBorder="1" applyAlignment="1" applyProtection="1">
      <alignment horizontal="left" vertical="center" wrapText="1"/>
    </xf>
    <xf numFmtId="0" fontId="74" fillId="0" borderId="0" xfId="0" applyNumberFormat="1" applyFont="1" applyBorder="1" applyAlignment="1" applyProtection="1">
      <alignment horizontal="center" vertical="center" wrapText="1"/>
    </xf>
    <xf numFmtId="0" fontId="92" fillId="0" borderId="0" xfId="0" applyNumberFormat="1" applyFont="1" applyBorder="1" applyAlignment="1" applyProtection="1">
      <alignment horizontal="center" vertical="center" wrapText="1"/>
    </xf>
    <xf numFmtId="0" fontId="85" fillId="0" borderId="0" xfId="0" applyNumberFormat="1" applyFont="1" applyBorder="1" applyAlignment="1" applyProtection="1">
      <alignment horizontal="center" vertical="center" wrapText="1"/>
    </xf>
    <xf numFmtId="0" fontId="0" fillId="30" borderId="0" xfId="0" applyNumberFormat="1" applyFill="1" applyProtection="1"/>
    <xf numFmtId="176" fontId="74" fillId="30" borderId="0" xfId="0" applyNumberFormat="1" applyFont="1" applyFill="1" applyBorder="1" applyAlignment="1" applyProtection="1">
      <alignment horizontal="left"/>
    </xf>
    <xf numFmtId="0" fontId="74" fillId="30" borderId="0" xfId="0" applyNumberFormat="1" applyFont="1" applyFill="1" applyBorder="1" applyAlignment="1" applyProtection="1">
      <alignment horizontal="center"/>
    </xf>
    <xf numFmtId="0" fontId="0" fillId="30" borderId="0" xfId="0" applyFill="1" applyBorder="1" applyAlignment="1" applyProtection="1"/>
    <xf numFmtId="0" fontId="0" fillId="30" borderId="15" xfId="0" applyFill="1" applyBorder="1" applyAlignment="1" applyProtection="1"/>
    <xf numFmtId="176" fontId="74" fillId="30" borderId="15" xfId="0" applyNumberFormat="1" applyFont="1" applyFill="1" applyBorder="1" applyAlignment="1" applyProtection="1">
      <alignment horizontal="left"/>
    </xf>
    <xf numFmtId="0" fontId="74" fillId="30" borderId="15" xfId="0" applyNumberFormat="1" applyFont="1" applyFill="1" applyBorder="1" applyAlignment="1" applyProtection="1">
      <alignment horizontal="center"/>
    </xf>
    <xf numFmtId="0" fontId="93" fillId="0" borderId="44" xfId="0" applyNumberFormat="1" applyFont="1" applyBorder="1" applyAlignment="1" applyProtection="1">
      <alignment vertical="top" wrapText="1"/>
    </xf>
    <xf numFmtId="0" fontId="94" fillId="30" borderId="37" xfId="0" applyNumberFormat="1" applyFont="1" applyFill="1" applyBorder="1" applyAlignment="1" applyProtection="1">
      <alignment horizontal="left"/>
    </xf>
    <xf numFmtId="9" fontId="70" fillId="31" borderId="3" xfId="0" applyNumberFormat="1" applyFont="1" applyFill="1" applyBorder="1" applyAlignment="1" applyProtection="1">
      <alignment horizontal="center"/>
    </xf>
    <xf numFmtId="178" fontId="82" fillId="30" borderId="90" xfId="0" applyNumberFormat="1" applyFont="1" applyFill="1" applyBorder="1" applyAlignment="1" applyProtection="1">
      <alignment horizontal="center"/>
    </xf>
    <xf numFmtId="176" fontId="94" fillId="30" borderId="0" xfId="0" applyNumberFormat="1" applyFont="1" applyFill="1" applyBorder="1" applyProtection="1">
      <protection locked="0"/>
    </xf>
    <xf numFmtId="0" fontId="0" fillId="0" borderId="23" xfId="0" applyNumberFormat="1" applyBorder="1" applyProtection="1"/>
    <xf numFmtId="0" fontId="0" fillId="0" borderId="24" xfId="0" applyNumberFormat="1" applyBorder="1" applyProtection="1"/>
    <xf numFmtId="0" fontId="109" fillId="0" borderId="25" xfId="0" applyNumberFormat="1" applyFont="1" applyBorder="1" applyProtection="1"/>
    <xf numFmtId="178" fontId="74" fillId="30" borderId="0" xfId="0" applyNumberFormat="1" applyFont="1" applyFill="1" applyBorder="1" applyAlignment="1" applyProtection="1">
      <alignment horizontal="center"/>
    </xf>
    <xf numFmtId="0" fontId="70" fillId="30" borderId="0" xfId="0" applyNumberFormat="1" applyFont="1" applyFill="1" applyBorder="1" applyAlignment="1" applyProtection="1">
      <alignment horizontal="center"/>
    </xf>
    <xf numFmtId="0" fontId="84" fillId="0" borderId="0" xfId="0" quotePrefix="1" applyNumberFormat="1" applyFont="1" applyAlignment="1" applyProtection="1">
      <alignment horizontal="left" vertical="top" wrapText="1"/>
    </xf>
    <xf numFmtId="0" fontId="70" fillId="30" borderId="79" xfId="0" applyNumberFormat="1" applyFont="1" applyFill="1" applyBorder="1" applyAlignment="1" applyProtection="1">
      <alignment horizontal="center"/>
    </xf>
    <xf numFmtId="10" fontId="70" fillId="31" borderId="10" xfId="0" applyNumberFormat="1" applyFont="1" applyFill="1" applyBorder="1" applyAlignment="1" applyProtection="1">
      <alignment horizontal="center"/>
    </xf>
    <xf numFmtId="176" fontId="0" fillId="30" borderId="0" xfId="0" applyNumberFormat="1" applyFill="1" applyBorder="1" applyProtection="1">
      <protection locked="0"/>
    </xf>
    <xf numFmtId="0" fontId="111" fillId="0" borderId="0" xfId="0" applyNumberFormat="1" applyFont="1" applyProtection="1"/>
    <xf numFmtId="9" fontId="82" fillId="30" borderId="0" xfId="0" applyNumberFormat="1" applyFont="1" applyFill="1" applyBorder="1" applyAlignment="1" applyProtection="1">
      <alignment horizontal="center"/>
    </xf>
    <xf numFmtId="176" fontId="82" fillId="30" borderId="15" xfId="0" applyNumberFormat="1" applyFont="1" applyFill="1" applyBorder="1" applyAlignment="1" applyProtection="1">
      <alignment horizontal="center"/>
    </xf>
    <xf numFmtId="0" fontId="93" fillId="0" borderId="44" xfId="0" quotePrefix="1" applyNumberFormat="1" applyFont="1" applyBorder="1" applyAlignment="1" applyProtection="1">
      <alignment vertical="top" wrapText="1"/>
    </xf>
    <xf numFmtId="0" fontId="81" fillId="30" borderId="94" xfId="0" applyNumberFormat="1" applyFont="1" applyFill="1" applyBorder="1" applyAlignment="1" applyProtection="1">
      <alignment horizontal="center"/>
    </xf>
    <xf numFmtId="9" fontId="82" fillId="30" borderId="15" xfId="0" applyNumberFormat="1" applyFont="1" applyFill="1" applyBorder="1" applyAlignment="1" applyProtection="1">
      <alignment horizontal="center"/>
    </xf>
    <xf numFmtId="0" fontId="75" fillId="30" borderId="79" xfId="0" applyNumberFormat="1" applyFont="1" applyFill="1" applyBorder="1" applyAlignment="1" applyProtection="1">
      <alignment horizontal="center"/>
    </xf>
    <xf numFmtId="9" fontId="82" fillId="30" borderId="14" xfId="0" applyNumberFormat="1" applyFont="1" applyFill="1" applyBorder="1" applyAlignment="1" applyProtection="1">
      <alignment horizontal="center"/>
    </xf>
    <xf numFmtId="9" fontId="82" fillId="30" borderId="90" xfId="0" applyNumberFormat="1" applyFont="1" applyFill="1" applyBorder="1" applyAlignment="1" applyProtection="1">
      <alignment horizontal="center"/>
    </xf>
    <xf numFmtId="9" fontId="70" fillId="31" borderId="75" xfId="0" applyNumberFormat="1" applyFont="1" applyFill="1" applyBorder="1" applyAlignment="1" applyProtection="1">
      <alignment horizontal="center"/>
    </xf>
    <xf numFmtId="9" fontId="82" fillId="30" borderId="35" xfId="0" applyNumberFormat="1" applyFont="1" applyFill="1" applyBorder="1" applyAlignment="1" applyProtection="1">
      <alignment horizontal="center"/>
    </xf>
    <xf numFmtId="0" fontId="14" fillId="33" borderId="35" xfId="0" applyNumberFormat="1" applyFont="1" applyFill="1" applyBorder="1" applyProtection="1"/>
    <xf numFmtId="2" fontId="0" fillId="0" borderId="0" xfId="0" applyNumberFormat="1" applyBorder="1" applyProtection="1"/>
    <xf numFmtId="2" fontId="0" fillId="0" borderId="0" xfId="0" applyNumberFormat="1" applyBorder="1" applyAlignment="1" applyProtection="1">
      <alignment horizontal="center"/>
    </xf>
    <xf numFmtId="178" fontId="82" fillId="30" borderId="15" xfId="0" applyNumberFormat="1" applyFont="1" applyFill="1" applyBorder="1" applyAlignment="1" applyProtection="1">
      <alignment horizontal="center"/>
    </xf>
    <xf numFmtId="178" fontId="74" fillId="30" borderId="15" xfId="0" applyNumberFormat="1" applyFont="1" applyFill="1" applyBorder="1" applyAlignment="1" applyProtection="1">
      <alignment horizontal="center"/>
    </xf>
    <xf numFmtId="176" fontId="94" fillId="30" borderId="15" xfId="0" applyNumberFormat="1" applyFont="1" applyFill="1" applyBorder="1" applyProtection="1">
      <protection locked="0"/>
    </xf>
    <xf numFmtId="0" fontId="70" fillId="0" borderId="0" xfId="0" applyNumberFormat="1" applyFont="1" applyFill="1" applyBorder="1" applyProtection="1"/>
    <xf numFmtId="0" fontId="75" fillId="30" borderId="14" xfId="0" applyNumberFormat="1" applyFont="1" applyFill="1" applyBorder="1" applyAlignment="1" applyProtection="1">
      <alignment horizontal="center"/>
    </xf>
    <xf numFmtId="49" fontId="84" fillId="0" borderId="44" xfId="0" applyNumberFormat="1" applyFont="1" applyBorder="1" applyAlignment="1" applyProtection="1">
      <alignment vertical="top" wrapText="1"/>
    </xf>
    <xf numFmtId="49" fontId="84" fillId="0" borderId="44" xfId="0" quotePrefix="1" applyNumberFormat="1" applyFont="1" applyBorder="1" applyAlignment="1" applyProtection="1">
      <alignment vertical="top" wrapText="1"/>
    </xf>
    <xf numFmtId="176" fontId="82" fillId="30" borderId="14" xfId="0" applyNumberFormat="1" applyFont="1" applyFill="1" applyBorder="1" applyAlignment="1" applyProtection="1">
      <alignment horizontal="center"/>
    </xf>
    <xf numFmtId="49" fontId="93" fillId="0" borderId="44" xfId="0" quotePrefix="1" applyNumberFormat="1" applyFont="1" applyBorder="1" applyAlignment="1" applyProtection="1">
      <alignment vertical="top" wrapText="1"/>
    </xf>
    <xf numFmtId="0" fontId="100" fillId="0" borderId="0" xfId="0" applyNumberFormat="1" applyFont="1" applyBorder="1" applyAlignment="1" applyProtection="1">
      <alignment horizontal="left" vertical="center" wrapText="1"/>
    </xf>
    <xf numFmtId="0" fontId="0" fillId="39" borderId="79" xfId="0" applyNumberFormat="1" applyFill="1" applyBorder="1" applyProtection="1"/>
    <xf numFmtId="0" fontId="0" fillId="39" borderId="14" xfId="0" applyNumberFormat="1" applyFill="1" applyBorder="1" applyProtection="1"/>
    <xf numFmtId="0" fontId="0" fillId="39" borderId="37" xfId="0" applyNumberFormat="1" applyFill="1" applyBorder="1" applyProtection="1"/>
    <xf numFmtId="49" fontId="84" fillId="33" borderId="78" xfId="0" quotePrefix="1" applyNumberFormat="1" applyFont="1" applyFill="1" applyBorder="1" applyAlignment="1" applyProtection="1">
      <alignment vertical="top" wrapText="1"/>
    </xf>
    <xf numFmtId="0" fontId="0" fillId="39" borderId="35" xfId="0" applyNumberFormat="1" applyFill="1" applyBorder="1" applyProtection="1"/>
    <xf numFmtId="0" fontId="0" fillId="39" borderId="0" xfId="0" applyNumberFormat="1" applyFill="1" applyBorder="1" applyProtection="1"/>
    <xf numFmtId="9" fontId="0" fillId="39" borderId="0" xfId="0" applyNumberFormat="1" applyFill="1" applyBorder="1" applyAlignment="1" applyProtection="1">
      <alignment horizontal="center"/>
    </xf>
    <xf numFmtId="0" fontId="0" fillId="39" borderId="36" xfId="0" applyNumberFormat="1" applyFill="1" applyBorder="1" applyProtection="1"/>
    <xf numFmtId="9" fontId="0" fillId="39" borderId="44" xfId="0" applyNumberFormat="1" applyFill="1" applyBorder="1" applyAlignment="1" applyProtection="1">
      <alignment horizontal="center"/>
    </xf>
    <xf numFmtId="9" fontId="0" fillId="39" borderId="78" xfId="0" applyNumberFormat="1" applyFill="1" applyBorder="1" applyAlignment="1" applyProtection="1">
      <alignment horizontal="center"/>
    </xf>
    <xf numFmtId="9" fontId="0" fillId="39" borderId="44" xfId="0" applyNumberFormat="1" applyFill="1" applyBorder="1" applyAlignment="1" applyProtection="1">
      <alignment horizontal="left"/>
    </xf>
    <xf numFmtId="0" fontId="0" fillId="39" borderId="36" xfId="0" applyNumberFormat="1" applyFill="1" applyBorder="1" applyAlignment="1" applyProtection="1">
      <alignment horizontal="center"/>
    </xf>
    <xf numFmtId="9" fontId="0" fillId="39" borderId="78" xfId="0" applyNumberFormat="1" applyFill="1" applyBorder="1" applyAlignment="1" applyProtection="1">
      <alignment horizontal="left"/>
    </xf>
    <xf numFmtId="0" fontId="0" fillId="39" borderId="44" xfId="0" applyNumberFormat="1" applyFill="1" applyBorder="1" applyAlignment="1" applyProtection="1">
      <alignment horizontal="center"/>
    </xf>
    <xf numFmtId="0" fontId="82" fillId="30" borderId="0" xfId="0" applyNumberFormat="1" applyFont="1" applyFill="1" applyBorder="1" applyAlignment="1" applyProtection="1">
      <alignment horizontal="left"/>
    </xf>
    <xf numFmtId="49" fontId="0" fillId="39" borderId="78" xfId="0" applyNumberFormat="1" applyFill="1" applyBorder="1" applyAlignment="1" applyProtection="1">
      <alignment horizontal="center"/>
    </xf>
    <xf numFmtId="0" fontId="0" fillId="39" borderId="78" xfId="0" applyNumberFormat="1" applyFill="1" applyBorder="1" applyAlignment="1" applyProtection="1">
      <alignment horizontal="center"/>
    </xf>
    <xf numFmtId="176" fontId="0" fillId="30" borderId="0" xfId="0" applyNumberFormat="1" applyFont="1" applyFill="1" applyBorder="1" applyProtection="1"/>
    <xf numFmtId="0" fontId="82" fillId="30" borderId="0" xfId="0" applyNumberFormat="1" applyFont="1" applyFill="1" applyBorder="1" applyAlignment="1" applyProtection="1">
      <alignment horizontal="center"/>
    </xf>
    <xf numFmtId="49" fontId="0" fillId="39" borderId="84" xfId="0" applyNumberFormat="1" applyFill="1" applyBorder="1" applyAlignment="1" applyProtection="1">
      <alignment horizontal="center"/>
    </xf>
    <xf numFmtId="0" fontId="0" fillId="39" borderId="84" xfId="0" applyNumberFormat="1" applyFill="1" applyBorder="1" applyAlignment="1" applyProtection="1">
      <alignment horizontal="center"/>
    </xf>
    <xf numFmtId="0" fontId="70" fillId="39" borderId="0" xfId="0" applyNumberFormat="1" applyFont="1" applyFill="1" applyBorder="1" applyProtection="1"/>
    <xf numFmtId="0" fontId="70" fillId="39" borderId="36" xfId="0" applyNumberFormat="1" applyFont="1" applyFill="1" applyBorder="1" applyProtection="1"/>
    <xf numFmtId="49" fontId="84" fillId="0" borderId="78" xfId="0" quotePrefix="1" applyNumberFormat="1" applyFont="1" applyBorder="1" applyAlignment="1" applyProtection="1">
      <alignment vertical="top" wrapText="1"/>
    </xf>
    <xf numFmtId="0" fontId="38" fillId="39" borderId="37" xfId="0" applyFont="1" applyFill="1" applyBorder="1" applyProtection="1"/>
    <xf numFmtId="0" fontId="38" fillId="0" borderId="0" xfId="0" applyFont="1" applyProtection="1"/>
    <xf numFmtId="0" fontId="0" fillId="39" borderId="94" xfId="0" applyNumberFormat="1" applyFill="1" applyBorder="1" applyProtection="1"/>
    <xf numFmtId="0" fontId="38" fillId="39" borderId="36" xfId="0" applyFont="1" applyFill="1" applyBorder="1" applyProtection="1"/>
    <xf numFmtId="0" fontId="0" fillId="39" borderId="90" xfId="0" applyNumberFormat="1" applyFill="1" applyBorder="1" applyProtection="1"/>
    <xf numFmtId="0" fontId="0" fillId="39" borderId="95" xfId="0" applyNumberFormat="1" applyFill="1" applyBorder="1" applyProtection="1"/>
    <xf numFmtId="0" fontId="38" fillId="39" borderId="92" xfId="0" applyFont="1" applyFill="1" applyBorder="1" applyProtection="1"/>
    <xf numFmtId="0" fontId="0" fillId="39" borderId="47" xfId="0" applyNumberFormat="1" applyFill="1" applyBorder="1" applyProtection="1"/>
    <xf numFmtId="0" fontId="0" fillId="39" borderId="75" xfId="0" applyNumberFormat="1" applyFill="1" applyBorder="1" applyProtection="1"/>
    <xf numFmtId="0" fontId="0" fillId="39" borderId="81" xfId="0" applyNumberFormat="1" applyFill="1" applyBorder="1" applyProtection="1"/>
    <xf numFmtId="0" fontId="0" fillId="39" borderId="82" xfId="0" applyNumberFormat="1" applyFill="1" applyBorder="1" applyProtection="1"/>
    <xf numFmtId="0" fontId="0" fillId="39" borderId="96" xfId="0" applyNumberFormat="1" applyFill="1" applyBorder="1" applyProtection="1"/>
    <xf numFmtId="0" fontId="0" fillId="39" borderId="97" xfId="0" applyNumberFormat="1" applyFill="1" applyBorder="1" applyProtection="1"/>
    <xf numFmtId="0" fontId="0" fillId="39" borderId="83" xfId="0" applyNumberFormat="1" applyFill="1" applyBorder="1" applyProtection="1"/>
    <xf numFmtId="0" fontId="0" fillId="39" borderId="98" xfId="0" applyNumberFormat="1" applyFill="1" applyBorder="1" applyProtection="1"/>
    <xf numFmtId="0" fontId="38" fillId="39" borderId="88" xfId="0" applyFont="1" applyFill="1" applyBorder="1" applyProtection="1"/>
    <xf numFmtId="0" fontId="0" fillId="39" borderId="91" xfId="0" applyNumberFormat="1" applyFill="1" applyBorder="1" applyProtection="1"/>
    <xf numFmtId="0" fontId="0" fillId="39" borderId="7" xfId="0" applyNumberFormat="1" applyFill="1" applyBorder="1" applyProtection="1"/>
    <xf numFmtId="0" fontId="0" fillId="39" borderId="15" xfId="0" applyNumberFormat="1" applyFill="1" applyBorder="1" applyProtection="1"/>
    <xf numFmtId="0" fontId="0" fillId="39" borderId="99" xfId="0" applyNumberFormat="1" applyFill="1" applyBorder="1" applyProtection="1"/>
    <xf numFmtId="0" fontId="0" fillId="39" borderId="52" xfId="0" applyNumberFormat="1" applyFill="1" applyBorder="1" applyProtection="1"/>
    <xf numFmtId="0" fontId="0" fillId="39" borderId="8" xfId="0" applyNumberFormat="1" applyFill="1" applyBorder="1" applyProtection="1"/>
    <xf numFmtId="0" fontId="113" fillId="0" borderId="0" xfId="0" applyNumberFormat="1" applyFont="1" applyBorder="1" applyAlignment="1" applyProtection="1"/>
    <xf numFmtId="0" fontId="113" fillId="0" borderId="0" xfId="0" applyNumberFormat="1" applyFont="1" applyBorder="1" applyProtection="1"/>
    <xf numFmtId="0" fontId="113" fillId="0" borderId="0" xfId="0" applyNumberFormat="1" applyFont="1" applyBorder="1" applyAlignment="1" applyProtection="1">
      <alignment vertical="center"/>
    </xf>
    <xf numFmtId="0" fontId="38" fillId="0" borderId="0" xfId="0" applyFont="1"/>
    <xf numFmtId="0" fontId="114" fillId="0" borderId="0" xfId="0" applyFont="1"/>
    <xf numFmtId="2" fontId="115" fillId="0" borderId="0" xfId="0" applyNumberFormat="1" applyFont="1"/>
    <xf numFmtId="1" fontId="115" fillId="0" borderId="0" xfId="0" applyNumberFormat="1" applyFont="1"/>
    <xf numFmtId="0" fontId="115" fillId="0" borderId="0" xfId="0" applyFont="1"/>
    <xf numFmtId="1" fontId="115" fillId="0" borderId="100" xfId="0" applyNumberFormat="1" applyFont="1" applyBorder="1"/>
    <xf numFmtId="0" fontId="117" fillId="0" borderId="0" xfId="0" applyFont="1" applyBorder="1"/>
    <xf numFmtId="0" fontId="118" fillId="0" borderId="0" xfId="0" applyFont="1" applyBorder="1"/>
    <xf numFmtId="0" fontId="119" fillId="40" borderId="45" xfId="0" applyNumberFormat="1" applyFont="1" applyFill="1" applyBorder="1" applyAlignment="1">
      <alignment horizontal="center" vertical="center"/>
    </xf>
    <xf numFmtId="165" fontId="0" fillId="0" borderId="0" xfId="0" applyNumberFormat="1" applyAlignment="1">
      <alignment horizontal="center"/>
    </xf>
    <xf numFmtId="2" fontId="38" fillId="0" borderId="0" xfId="0" applyNumberFormat="1" applyFont="1" applyAlignment="1">
      <alignment horizontal="center"/>
    </xf>
    <xf numFmtId="1" fontId="38" fillId="0" borderId="0" xfId="0" applyNumberFormat="1" applyFont="1" applyAlignment="1">
      <alignment horizontal="center"/>
    </xf>
    <xf numFmtId="0" fontId="117" fillId="0" borderId="0" xfId="0" applyFont="1"/>
    <xf numFmtId="2" fontId="117" fillId="0" borderId="0" xfId="0" applyNumberFormat="1" applyFont="1"/>
    <xf numFmtId="0" fontId="120" fillId="12" borderId="24" xfId="0" applyFont="1" applyFill="1" applyBorder="1" applyAlignment="1">
      <alignment horizontal="center"/>
    </xf>
    <xf numFmtId="0" fontId="120" fillId="12" borderId="24" xfId="0" applyFont="1" applyFill="1" applyBorder="1"/>
    <xf numFmtId="0" fontId="120" fillId="12" borderId="25" xfId="0" applyFont="1" applyFill="1" applyBorder="1"/>
    <xf numFmtId="0" fontId="121" fillId="0" borderId="0" xfId="0" applyFont="1"/>
    <xf numFmtId="1" fontId="38" fillId="0" borderId="0" xfId="0" applyNumberFormat="1" applyFont="1"/>
    <xf numFmtId="1" fontId="0" fillId="0" borderId="0" xfId="0" applyNumberFormat="1"/>
    <xf numFmtId="0" fontId="0" fillId="0" borderId="0" xfId="0" applyBorder="1" applyAlignment="1">
      <alignment horizontal="left" vertical="center"/>
    </xf>
    <xf numFmtId="0" fontId="0" fillId="0" borderId="0" xfId="0" applyAlignment="1">
      <alignment horizontal="left" vertical="center"/>
    </xf>
    <xf numFmtId="0" fontId="114" fillId="0" borderId="0" xfId="0" applyFont="1" applyBorder="1" applyAlignment="1">
      <alignment horizontal="left" vertical="center"/>
    </xf>
    <xf numFmtId="2" fontId="114" fillId="0" borderId="0" xfId="0" applyNumberFormat="1" applyFont="1" applyFill="1" applyBorder="1" applyAlignment="1">
      <alignment horizontal="center" vertical="center"/>
    </xf>
    <xf numFmtId="0" fontId="114" fillId="0" borderId="0" xfId="0" applyFont="1" applyBorder="1"/>
    <xf numFmtId="0" fontId="0" fillId="0" borderId="0" xfId="0" applyBorder="1"/>
    <xf numFmtId="0" fontId="122" fillId="0" borderId="0" xfId="0" applyFont="1" applyBorder="1" applyAlignment="1">
      <alignment horizontal="left" vertical="center"/>
    </xf>
    <xf numFmtId="0" fontId="121" fillId="0" borderId="0" xfId="0" applyFont="1" applyBorder="1"/>
    <xf numFmtId="0" fontId="114" fillId="0" borderId="0" xfId="0" applyFont="1" applyBorder="1" applyAlignment="1">
      <alignment horizontal="center"/>
    </xf>
    <xf numFmtId="169" fontId="0" fillId="0" borderId="79" xfId="0" applyNumberFormat="1" applyFont="1" applyFill="1" applyBorder="1" applyAlignment="1">
      <alignment horizontal="center" vertical="center"/>
    </xf>
    <xf numFmtId="2" fontId="0" fillId="0" borderId="14" xfId="0" applyNumberFormat="1" applyFont="1" applyFill="1" applyBorder="1" applyAlignment="1">
      <alignment horizontal="center" vertical="center"/>
    </xf>
    <xf numFmtId="0" fontId="0" fillId="0" borderId="14" xfId="0" applyBorder="1" applyAlignment="1">
      <alignment horizontal="center" vertical="center"/>
    </xf>
    <xf numFmtId="1" fontId="0" fillId="0" borderId="14" xfId="0" applyNumberFormat="1" applyBorder="1" applyAlignment="1">
      <alignment horizontal="center" vertical="center"/>
    </xf>
    <xf numFmtId="1" fontId="0" fillId="0" borderId="14" xfId="0" applyNumberFormat="1" applyFill="1" applyBorder="1" applyAlignment="1">
      <alignment horizontal="center" vertical="center"/>
    </xf>
    <xf numFmtId="0" fontId="0" fillId="0" borderId="14" xfId="0" applyBorder="1" applyAlignment="1">
      <alignment horizontal="left" vertical="center"/>
    </xf>
    <xf numFmtId="0" fontId="0" fillId="0" borderId="14" xfId="0" applyBorder="1"/>
    <xf numFmtId="0" fontId="0" fillId="0" borderId="37" xfId="0" applyBorder="1"/>
    <xf numFmtId="169" fontId="0" fillId="0" borderId="35" xfId="0" applyNumberFormat="1" applyFont="1" applyFill="1" applyBorder="1" applyAlignment="1">
      <alignment horizontal="center" vertical="center"/>
    </xf>
    <xf numFmtId="2" fontId="0" fillId="0" borderId="0" xfId="0" applyNumberFormat="1" applyFont="1" applyFill="1" applyBorder="1" applyAlignment="1">
      <alignment horizontal="center" vertical="center"/>
    </xf>
    <xf numFmtId="0" fontId="0" fillId="0" borderId="0" xfId="0" applyBorder="1" applyAlignment="1">
      <alignment horizontal="center" vertical="center"/>
    </xf>
    <xf numFmtId="1" fontId="0" fillId="0" borderId="0" xfId="0" applyNumberFormat="1" applyBorder="1" applyAlignment="1">
      <alignment horizontal="center" vertical="center"/>
    </xf>
    <xf numFmtId="1" fontId="0" fillId="0" borderId="0" xfId="0" applyNumberFormat="1" applyFill="1" applyBorder="1" applyAlignment="1">
      <alignment horizontal="center" vertical="center"/>
    </xf>
    <xf numFmtId="0" fontId="0" fillId="0" borderId="36" xfId="0" applyBorder="1"/>
    <xf numFmtId="0" fontId="121" fillId="0" borderId="0" xfId="0" applyFont="1" applyAlignment="1">
      <alignment horizontal="center" vertical="center"/>
    </xf>
    <xf numFmtId="169" fontId="0" fillId="0" borderId="7" xfId="0" applyNumberFormat="1" applyFont="1" applyFill="1" applyBorder="1" applyAlignment="1">
      <alignment horizontal="center" vertical="center"/>
    </xf>
    <xf numFmtId="2" fontId="0" fillId="0" borderId="15" xfId="0" applyNumberFormat="1" applyFont="1" applyFill="1" applyBorder="1" applyAlignment="1">
      <alignment horizontal="center" vertical="center"/>
    </xf>
    <xf numFmtId="0" fontId="0" fillId="0" borderId="15" xfId="0" applyBorder="1" applyAlignment="1">
      <alignment horizontal="center" vertical="center"/>
    </xf>
    <xf numFmtId="1" fontId="0" fillId="0" borderId="15" xfId="0" applyNumberFormat="1" applyBorder="1" applyAlignment="1">
      <alignment horizontal="center" vertical="center"/>
    </xf>
    <xf numFmtId="1" fontId="0" fillId="0" borderId="15" xfId="0" applyNumberFormat="1" applyFill="1" applyBorder="1" applyAlignment="1">
      <alignment horizontal="center" vertical="center"/>
    </xf>
    <xf numFmtId="0" fontId="0" fillId="0" borderId="15" xfId="0" applyBorder="1" applyAlignment="1">
      <alignment horizontal="left" vertical="center"/>
    </xf>
    <xf numFmtId="0" fontId="0" fillId="0" borderId="15" xfId="0" applyBorder="1"/>
    <xf numFmtId="0" fontId="0" fillId="0" borderId="8" xfId="0" applyBorder="1"/>
    <xf numFmtId="0" fontId="123" fillId="12" borderId="24" xfId="0" applyFont="1" applyFill="1" applyBorder="1"/>
    <xf numFmtId="0" fontId="0" fillId="0" borderId="0" xfId="0" applyFill="1" applyBorder="1"/>
    <xf numFmtId="0" fontId="0" fillId="0" borderId="0" xfId="0" applyFill="1"/>
    <xf numFmtId="9" fontId="0" fillId="0" borderId="0" xfId="9" applyFont="1" applyFill="1"/>
    <xf numFmtId="0" fontId="124" fillId="33" borderId="0" xfId="0" applyFont="1" applyFill="1"/>
    <xf numFmtId="0" fontId="124" fillId="33" borderId="0" xfId="0" applyFont="1" applyFill="1" applyProtection="1"/>
    <xf numFmtId="0" fontId="125" fillId="33" borderId="0" xfId="0" applyFont="1" applyFill="1" applyProtection="1"/>
    <xf numFmtId="0" fontId="124" fillId="33" borderId="0" xfId="0" applyFont="1" applyFill="1" applyAlignment="1" applyProtection="1">
      <alignment horizontal="center"/>
    </xf>
    <xf numFmtId="0" fontId="124" fillId="33" borderId="0" xfId="0" applyFont="1" applyFill="1" applyAlignment="1" applyProtection="1">
      <alignment wrapText="1"/>
    </xf>
    <xf numFmtId="175" fontId="124" fillId="33" borderId="0" xfId="0" applyNumberFormat="1" applyFont="1" applyFill="1" applyAlignment="1" applyProtection="1">
      <alignment horizontal="center"/>
    </xf>
    <xf numFmtId="9" fontId="124" fillId="33" borderId="0" xfId="9" applyFont="1" applyFill="1" applyAlignment="1" applyProtection="1">
      <alignment horizontal="center"/>
    </xf>
    <xf numFmtId="9" fontId="124" fillId="33" borderId="0" xfId="0" applyNumberFormat="1" applyFont="1" applyFill="1" applyAlignment="1" applyProtection="1">
      <alignment horizontal="center"/>
    </xf>
    <xf numFmtId="9" fontId="124" fillId="33" borderId="0" xfId="9" applyFont="1" applyFill="1" applyProtection="1"/>
    <xf numFmtId="0" fontId="70" fillId="23" borderId="0" xfId="0" applyFont="1" applyFill="1"/>
    <xf numFmtId="0" fontId="0" fillId="0" borderId="7" xfId="0" applyBorder="1"/>
    <xf numFmtId="0" fontId="70" fillId="0" borderId="36" xfId="0" applyFont="1" applyBorder="1" applyAlignment="1">
      <alignment horizontal="center"/>
    </xf>
    <xf numFmtId="0" fontId="70" fillId="0" borderId="0" xfId="0" applyFont="1" applyBorder="1"/>
    <xf numFmtId="0" fontId="0" fillId="0" borderId="35" xfId="0" applyBorder="1"/>
    <xf numFmtId="0" fontId="14" fillId="0" borderId="0" xfId="0" applyFont="1" applyBorder="1"/>
    <xf numFmtId="0" fontId="0" fillId="0" borderId="79" xfId="0" applyBorder="1"/>
    <xf numFmtId="3" fontId="32" fillId="0" borderId="44" xfId="3" applyNumberFormat="1" applyBorder="1"/>
    <xf numFmtId="3" fontId="38" fillId="13" borderId="22" xfId="3" applyNumberFormat="1" applyFont="1" applyFill="1" applyBorder="1"/>
    <xf numFmtId="0" fontId="33" fillId="0" borderId="18" xfId="3" applyFont="1" applyBorder="1" applyAlignment="1">
      <alignment horizontal="center" vertical="center" wrapText="1"/>
    </xf>
    <xf numFmtId="0" fontId="33" fillId="0" borderId="17" xfId="3" applyFont="1" applyBorder="1" applyAlignment="1">
      <alignment horizontal="center" vertical="center" wrapText="1"/>
    </xf>
    <xf numFmtId="0" fontId="33" fillId="0" borderId="16" xfId="3" applyFont="1" applyFill="1" applyBorder="1" applyAlignment="1">
      <alignment horizontal="center" vertical="center" wrapText="1"/>
    </xf>
    <xf numFmtId="0" fontId="127" fillId="0" borderId="0" xfId="3" applyFont="1"/>
    <xf numFmtId="0" fontId="38" fillId="0" borderId="81" xfId="3" applyFont="1" applyFill="1" applyBorder="1" applyAlignment="1">
      <alignment horizontal="right" wrapText="1"/>
    </xf>
    <xf numFmtId="0" fontId="124" fillId="0" borderId="0" xfId="0" applyFont="1"/>
    <xf numFmtId="0" fontId="15" fillId="41" borderId="0" xfId="2" applyFill="1"/>
    <xf numFmtId="0" fontId="15" fillId="41" borderId="0" xfId="2" applyFill="1" applyAlignment="1">
      <alignment horizontal="center"/>
    </xf>
    <xf numFmtId="0" fontId="23" fillId="41" borderId="0" xfId="2" applyFont="1" applyFill="1"/>
    <xf numFmtId="0" fontId="22" fillId="41" borderId="0" xfId="2" applyFont="1" applyFill="1"/>
    <xf numFmtId="0" fontId="15" fillId="41" borderId="0" xfId="2" applyFont="1" applyFill="1" applyBorder="1" applyAlignment="1">
      <alignment vertical="top"/>
    </xf>
    <xf numFmtId="2" fontId="15" fillId="41" borderId="0" xfId="2" applyNumberFormat="1" applyFill="1" applyAlignment="1">
      <alignment horizontal="center"/>
    </xf>
    <xf numFmtId="0" fontId="28" fillId="41" borderId="0" xfId="2" applyFont="1" applyFill="1"/>
    <xf numFmtId="2" fontId="29" fillId="41" borderId="0" xfId="2" applyNumberFormat="1" applyFont="1" applyFill="1" applyAlignment="1">
      <alignment horizontal="center"/>
    </xf>
    <xf numFmtId="0" fontId="27" fillId="41" borderId="0" xfId="2" applyFont="1" applyFill="1" applyAlignment="1">
      <alignment horizontal="center"/>
    </xf>
    <xf numFmtId="0" fontId="22" fillId="42" borderId="0" xfId="2" applyFont="1" applyFill="1"/>
    <xf numFmtId="0" fontId="129" fillId="42" borderId="0" xfId="2" applyFont="1" applyFill="1"/>
    <xf numFmtId="0" fontId="130" fillId="42" borderId="0" xfId="2" applyFont="1" applyFill="1" applyAlignment="1">
      <alignment horizontal="center"/>
    </xf>
    <xf numFmtId="0" fontId="131" fillId="42" borderId="0" xfId="2" applyFont="1" applyFill="1"/>
    <xf numFmtId="0" fontId="15" fillId="6" borderId="75" xfId="2" applyFont="1" applyFill="1" applyBorder="1" applyAlignment="1">
      <alignment vertical="top"/>
    </xf>
    <xf numFmtId="2" fontId="15" fillId="6" borderId="75" xfId="2" applyNumberFormat="1" applyFont="1" applyFill="1" applyBorder="1" applyAlignment="1">
      <alignment horizontal="center" vertical="top"/>
    </xf>
    <xf numFmtId="2" fontId="15" fillId="44" borderId="75" xfId="2" applyNumberFormat="1" applyFont="1" applyFill="1" applyBorder="1" applyAlignment="1">
      <alignment horizontal="center" vertical="top"/>
    </xf>
    <xf numFmtId="2" fontId="15" fillId="44" borderId="62" xfId="2" applyNumberFormat="1" applyFont="1" applyFill="1" applyBorder="1" applyAlignment="1">
      <alignment horizontal="center" vertical="top"/>
    </xf>
    <xf numFmtId="2" fontId="15" fillId="44" borderId="63" xfId="2" applyNumberFormat="1" applyFont="1" applyFill="1" applyBorder="1" applyAlignment="1">
      <alignment horizontal="center" vertical="top"/>
    </xf>
    <xf numFmtId="2" fontId="15" fillId="44" borderId="73" xfId="2" applyNumberFormat="1" applyFont="1" applyFill="1" applyBorder="1" applyAlignment="1">
      <alignment horizontal="center" vertical="top"/>
    </xf>
    <xf numFmtId="0" fontId="15" fillId="44" borderId="76" xfId="2" applyFont="1" applyFill="1" applyBorder="1" applyAlignment="1">
      <alignment vertical="top"/>
    </xf>
    <xf numFmtId="2" fontId="15" fillId="41" borderId="70" xfId="2" applyNumberFormat="1" applyFont="1" applyFill="1" applyBorder="1" applyAlignment="1">
      <alignment horizontal="center" vertical="top"/>
    </xf>
    <xf numFmtId="0" fontId="15" fillId="41" borderId="69" xfId="2" applyFont="1" applyFill="1" applyBorder="1" applyAlignment="1">
      <alignment vertical="top"/>
    </xf>
    <xf numFmtId="2" fontId="15" fillId="44" borderId="0" xfId="2" applyNumberFormat="1" applyFont="1" applyFill="1" applyBorder="1" applyAlignment="1">
      <alignment horizontal="center" vertical="top"/>
    </xf>
    <xf numFmtId="2" fontId="15" fillId="41" borderId="67" xfId="2" applyNumberFormat="1" applyFont="1" applyFill="1" applyBorder="1" applyAlignment="1">
      <alignment horizontal="center" vertical="top"/>
    </xf>
    <xf numFmtId="0" fontId="15" fillId="41" borderId="66" xfId="2" applyFont="1" applyFill="1" applyBorder="1" applyAlignment="1">
      <alignment vertical="top"/>
    </xf>
    <xf numFmtId="0" fontId="136" fillId="43" borderId="0" xfId="2" applyFont="1" applyFill="1" applyAlignment="1">
      <alignment horizontal="right" vertical="top"/>
    </xf>
    <xf numFmtId="9" fontId="15" fillId="28" borderId="0" xfId="9" applyFont="1" applyFill="1" applyAlignment="1">
      <alignment horizontal="center" vertical="top"/>
    </xf>
    <xf numFmtId="0" fontId="130" fillId="42" borderId="77" xfId="2" applyFont="1" applyFill="1" applyBorder="1" applyAlignment="1">
      <alignment vertical="top"/>
    </xf>
    <xf numFmtId="0" fontId="137" fillId="42" borderId="71" xfId="2" applyFont="1" applyFill="1" applyBorder="1" applyAlignment="1">
      <alignment vertical="top" wrapText="1"/>
    </xf>
    <xf numFmtId="0" fontId="137" fillId="42" borderId="68" xfId="2" applyFont="1" applyFill="1" applyBorder="1" applyAlignment="1">
      <alignment vertical="top"/>
    </xf>
    <xf numFmtId="0" fontId="137" fillId="42" borderId="71" xfId="2" applyFont="1" applyFill="1" applyBorder="1" applyAlignment="1">
      <alignment vertical="top"/>
    </xf>
    <xf numFmtId="0" fontId="137" fillId="42" borderId="72" xfId="2" applyFont="1" applyFill="1" applyBorder="1" applyAlignment="1">
      <alignment vertical="top"/>
    </xf>
    <xf numFmtId="0" fontId="137" fillId="42" borderId="68" xfId="2" applyFont="1" applyFill="1" applyBorder="1" applyAlignment="1">
      <alignment vertical="top" wrapText="1"/>
    </xf>
    <xf numFmtId="0" fontId="129" fillId="42" borderId="0" xfId="0" applyFont="1" applyFill="1"/>
    <xf numFmtId="0" fontId="15" fillId="41" borderId="0" xfId="2" applyFont="1" applyFill="1"/>
    <xf numFmtId="2" fontId="15" fillId="41" borderId="0" xfId="2" applyNumberFormat="1" applyFill="1"/>
    <xf numFmtId="0" fontId="38" fillId="41" borderId="0" xfId="2" applyFont="1" applyFill="1"/>
    <xf numFmtId="0" fontId="38" fillId="41" borderId="0" xfId="2" applyFont="1" applyFill="1" applyAlignment="1">
      <alignment horizontal="right"/>
    </xf>
    <xf numFmtId="2" fontId="38" fillId="41" borderId="0" xfId="2" applyNumberFormat="1" applyFont="1" applyFill="1"/>
    <xf numFmtId="2" fontId="38" fillId="41" borderId="0" xfId="2" applyNumberFormat="1" applyFont="1" applyFill="1" applyAlignment="1">
      <alignment vertical="top"/>
    </xf>
    <xf numFmtId="0" fontId="38" fillId="41" borderId="0" xfId="2" applyFont="1" applyFill="1" applyAlignment="1">
      <alignment vertical="top"/>
    </xf>
    <xf numFmtId="0" fontId="130" fillId="42" borderId="0" xfId="2" applyFont="1" applyFill="1" applyAlignment="1">
      <alignment horizontal="right"/>
    </xf>
    <xf numFmtId="2" fontId="59" fillId="28" borderId="0" xfId="2" applyNumberFormat="1" applyFont="1" applyFill="1"/>
    <xf numFmtId="0" fontId="15" fillId="44" borderId="0" xfId="2" applyFont="1" applyFill="1" applyAlignment="1">
      <alignment horizontal="center" vertical="top"/>
    </xf>
    <xf numFmtId="0" fontId="67" fillId="44" borderId="0" xfId="0" applyFont="1" applyFill="1" applyAlignment="1">
      <alignment vertical="top"/>
    </xf>
    <xf numFmtId="3" fontId="15" fillId="44" borderId="0" xfId="2" applyNumberFormat="1" applyFont="1" applyFill="1" applyAlignment="1">
      <alignment horizontal="center" vertical="top"/>
    </xf>
    <xf numFmtId="0" fontId="67" fillId="44" borderId="0" xfId="0" applyFont="1" applyFill="1" applyAlignment="1">
      <alignment vertical="top" wrapText="1"/>
    </xf>
    <xf numFmtId="0" fontId="38" fillId="44" borderId="0" xfId="2" applyFont="1" applyFill="1" applyAlignment="1">
      <alignment vertical="top"/>
    </xf>
    <xf numFmtId="0" fontId="15" fillId="44" borderId="0" xfId="2" applyFont="1" applyFill="1" applyAlignment="1">
      <alignment horizontal="center"/>
    </xf>
    <xf numFmtId="0" fontId="38" fillId="33" borderId="0" xfId="2" applyFont="1" applyFill="1"/>
    <xf numFmtId="0" fontId="38" fillId="33" borderId="0" xfId="2" applyFont="1" applyFill="1" applyAlignment="1">
      <alignment horizontal="right"/>
    </xf>
    <xf numFmtId="2" fontId="38" fillId="33" borderId="0" xfId="2" applyNumberFormat="1" applyFont="1" applyFill="1"/>
    <xf numFmtId="0" fontId="38" fillId="33" borderId="0" xfId="2" applyFont="1" applyFill="1" applyAlignment="1">
      <alignment horizontal="center"/>
    </xf>
    <xf numFmtId="0" fontId="129" fillId="41" borderId="0" xfId="2" applyFont="1" applyFill="1"/>
    <xf numFmtId="0" fontId="22" fillId="41" borderId="0" xfId="2" applyFont="1" applyFill="1" applyBorder="1"/>
    <xf numFmtId="0" fontId="131" fillId="42" borderId="0" xfId="2" applyFont="1" applyFill="1" applyAlignment="1">
      <alignment vertical="center"/>
    </xf>
    <xf numFmtId="3" fontId="131" fillId="42" borderId="0" xfId="2" applyNumberFormat="1" applyFont="1" applyFill="1" applyAlignment="1">
      <alignment horizontal="center" vertical="center"/>
    </xf>
    <xf numFmtId="0" fontId="135" fillId="42" borderId="0" xfId="2" applyFont="1" applyFill="1" applyAlignment="1">
      <alignment vertical="center"/>
    </xf>
    <xf numFmtId="0" fontId="135" fillId="42" borderId="0" xfId="2" applyFont="1" applyFill="1" applyBorder="1" applyAlignment="1">
      <alignment vertical="center"/>
    </xf>
    <xf numFmtId="0" fontId="133" fillId="42" borderId="0" xfId="2" applyFont="1" applyFill="1" applyAlignment="1">
      <alignment vertical="top"/>
    </xf>
    <xf numFmtId="0" fontId="129" fillId="42" borderId="0" xfId="2" applyFont="1" applyFill="1" applyAlignment="1">
      <alignment horizontal="center"/>
    </xf>
    <xf numFmtId="3" fontId="15" fillId="44" borderId="62" xfId="2" applyNumberFormat="1" applyFont="1" applyFill="1" applyBorder="1" applyAlignment="1">
      <alignment horizontal="center" vertical="top"/>
    </xf>
    <xf numFmtId="0" fontId="21" fillId="44" borderId="62" xfId="2" applyFont="1" applyFill="1" applyBorder="1" applyAlignment="1">
      <alignment vertical="top"/>
    </xf>
    <xf numFmtId="0" fontId="15" fillId="41" borderId="0" xfId="2" applyFill="1" applyAlignment="1">
      <alignment vertical="top"/>
    </xf>
    <xf numFmtId="3" fontId="15" fillId="41" borderId="0" xfId="2" applyNumberFormat="1" applyFill="1" applyAlignment="1">
      <alignment horizontal="center" vertical="top"/>
    </xf>
    <xf numFmtId="0" fontId="15" fillId="41" borderId="0" xfId="2" applyFill="1" applyBorder="1" applyAlignment="1">
      <alignment vertical="top"/>
    </xf>
    <xf numFmtId="0" fontId="15" fillId="41" borderId="0" xfId="2" applyFont="1" applyFill="1" applyBorder="1" applyAlignment="1">
      <alignment vertical="center"/>
    </xf>
    <xf numFmtId="0" fontId="18" fillId="41" borderId="0" xfId="2" applyFont="1" applyFill="1" applyBorder="1" applyAlignment="1">
      <alignment vertical="top"/>
    </xf>
    <xf numFmtId="0" fontId="15" fillId="41" borderId="0" xfId="2" applyFill="1" applyAlignment="1">
      <alignment vertical="center"/>
    </xf>
    <xf numFmtId="0" fontId="15" fillId="41" borderId="0" xfId="2" applyFont="1" applyFill="1" applyAlignment="1">
      <alignment vertical="top"/>
    </xf>
    <xf numFmtId="0" fontId="17" fillId="41" borderId="0" xfId="2" applyFont="1" applyFill="1" applyAlignment="1">
      <alignment vertical="top" wrapText="1"/>
    </xf>
    <xf numFmtId="3" fontId="18" fillId="44" borderId="60" xfId="2" applyNumberFormat="1" applyFont="1" applyFill="1" applyBorder="1" applyAlignment="1">
      <alignment horizontal="center" vertical="top"/>
    </xf>
    <xf numFmtId="0" fontId="21" fillId="44" borderId="60" xfId="2" applyFont="1" applyFill="1" applyBorder="1" applyAlignment="1">
      <alignment vertical="top"/>
    </xf>
    <xf numFmtId="3" fontId="18" fillId="44" borderId="55" xfId="2" applyNumberFormat="1" applyFont="1" applyFill="1" applyBorder="1" applyAlignment="1">
      <alignment horizontal="center" vertical="top"/>
    </xf>
    <xf numFmtId="0" fontId="21" fillId="44" borderId="55" xfId="2" applyFont="1" applyFill="1" applyBorder="1" applyAlignment="1">
      <alignment vertical="top"/>
    </xf>
    <xf numFmtId="3" fontId="15" fillId="44" borderId="53" xfId="2" applyNumberFormat="1" applyFont="1" applyFill="1" applyBorder="1" applyAlignment="1">
      <alignment horizontal="center" vertical="top"/>
    </xf>
    <xf numFmtId="0" fontId="21" fillId="44" borderId="53" xfId="2" applyFont="1" applyFill="1" applyBorder="1" applyAlignment="1">
      <alignment vertical="top"/>
    </xf>
    <xf numFmtId="3" fontId="15" fillId="41" borderId="0" xfId="2" applyNumberFormat="1" applyFont="1" applyFill="1" applyBorder="1" applyAlignment="1">
      <alignment horizontal="center" vertical="top"/>
    </xf>
    <xf numFmtId="0" fontId="15" fillId="41" borderId="60" xfId="2" applyFont="1" applyFill="1" applyBorder="1" applyAlignment="1">
      <alignment vertical="top"/>
    </xf>
    <xf numFmtId="3" fontId="15" fillId="41" borderId="60" xfId="2" applyNumberFormat="1" applyFont="1" applyFill="1" applyBorder="1" applyAlignment="1">
      <alignment horizontal="center" vertical="top"/>
    </xf>
    <xf numFmtId="0" fontId="15" fillId="41" borderId="0" xfId="2" applyFont="1" applyFill="1" applyAlignment="1">
      <alignment horizontal="center" vertical="top"/>
    </xf>
    <xf numFmtId="2" fontId="15" fillId="28" borderId="0" xfId="2" applyNumberFormat="1" applyFill="1" applyAlignment="1">
      <alignment horizontal="center"/>
    </xf>
    <xf numFmtId="0" fontId="15" fillId="28" borderId="0" xfId="2" applyFill="1"/>
    <xf numFmtId="3" fontId="15" fillId="44" borderId="60" xfId="2" applyNumberFormat="1" applyFont="1" applyFill="1" applyBorder="1" applyAlignment="1">
      <alignment horizontal="center" vertical="top"/>
    </xf>
    <xf numFmtId="3" fontId="15" fillId="44" borderId="0" xfId="2" applyNumberFormat="1" applyFont="1" applyFill="1" applyBorder="1" applyAlignment="1">
      <alignment horizontal="center" vertical="top"/>
    </xf>
    <xf numFmtId="3" fontId="15" fillId="44" borderId="55" xfId="2" applyNumberFormat="1" applyFont="1" applyFill="1" applyBorder="1" applyAlignment="1">
      <alignment horizontal="center" vertical="top"/>
    </xf>
    <xf numFmtId="4" fontId="15" fillId="44" borderId="53" xfId="2" applyNumberFormat="1" applyFont="1" applyFill="1" applyBorder="1" applyAlignment="1">
      <alignment horizontal="center" vertical="top"/>
    </xf>
    <xf numFmtId="0" fontId="21" fillId="44" borderId="0" xfId="2" applyFont="1" applyFill="1" applyAlignment="1">
      <alignment vertical="top"/>
    </xf>
    <xf numFmtId="0" fontId="15" fillId="42" borderId="0" xfId="2" applyFont="1" applyFill="1" applyAlignment="1">
      <alignment vertical="top"/>
    </xf>
    <xf numFmtId="3" fontId="131" fillId="42" borderId="0" xfId="2" applyNumberFormat="1" applyFont="1" applyFill="1" applyAlignment="1">
      <alignment horizontal="center"/>
    </xf>
    <xf numFmtId="0" fontId="135" fillId="42" borderId="0" xfId="2" applyFont="1" applyFill="1" applyAlignment="1">
      <alignment vertical="top"/>
    </xf>
    <xf numFmtId="0" fontId="135" fillId="42" borderId="0" xfId="2" applyFont="1" applyFill="1" applyBorder="1" applyAlignment="1">
      <alignment vertical="top"/>
    </xf>
    <xf numFmtId="0" fontId="133" fillId="42" borderId="55" xfId="2" applyFont="1" applyFill="1" applyBorder="1" applyAlignment="1">
      <alignment vertical="top"/>
    </xf>
    <xf numFmtId="0" fontId="22" fillId="42" borderId="0" xfId="2" applyFont="1" applyFill="1" applyAlignment="1">
      <alignment horizontal="center"/>
    </xf>
    <xf numFmtId="3" fontId="25" fillId="42" borderId="0" xfId="2" applyNumberFormat="1" applyFont="1" applyFill="1" applyAlignment="1">
      <alignment horizontal="center" vertical="top"/>
    </xf>
    <xf numFmtId="3" fontId="25" fillId="42" borderId="55" xfId="2" applyNumberFormat="1" applyFont="1" applyFill="1" applyBorder="1" applyAlignment="1">
      <alignment horizontal="center" vertical="top"/>
    </xf>
    <xf numFmtId="0" fontId="15" fillId="42" borderId="55" xfId="2" applyFont="1" applyFill="1" applyBorder="1" applyAlignment="1">
      <alignment vertical="top"/>
    </xf>
    <xf numFmtId="0" fontId="1" fillId="41" borderId="0" xfId="1" applyFill="1"/>
    <xf numFmtId="0" fontId="1" fillId="41" borderId="0" xfId="1" applyFill="1" applyProtection="1">
      <protection hidden="1"/>
    </xf>
    <xf numFmtId="0" fontId="1" fillId="42" borderId="25" xfId="1" applyFill="1" applyBorder="1"/>
    <xf numFmtId="0" fontId="9" fillId="42" borderId="33" xfId="1" applyFont="1" applyFill="1" applyBorder="1" applyAlignment="1">
      <alignment horizontal="right" vertical="center"/>
    </xf>
    <xf numFmtId="165" fontId="8" fillId="28" borderId="23" xfId="1" applyNumberFormat="1" applyFont="1" applyFill="1" applyBorder="1" applyAlignment="1">
      <alignment horizontal="center" vertical="center"/>
    </xf>
    <xf numFmtId="1" fontId="8" fillId="28" borderId="23" xfId="1" applyNumberFormat="1" applyFont="1" applyFill="1" applyBorder="1" applyAlignment="1">
      <alignment horizontal="center" vertical="center"/>
    </xf>
    <xf numFmtId="0" fontId="140" fillId="42" borderId="24" xfId="1" applyFont="1" applyFill="1" applyBorder="1" applyAlignment="1">
      <alignment vertical="center"/>
    </xf>
    <xf numFmtId="0" fontId="1" fillId="41" borderId="0" xfId="1" applyFont="1" applyFill="1" applyProtection="1">
      <protection hidden="1"/>
    </xf>
    <xf numFmtId="0" fontId="1" fillId="41" borderId="36" xfId="1" applyFill="1" applyBorder="1"/>
    <xf numFmtId="0" fontId="1" fillId="41" borderId="0" xfId="1" applyFill="1" applyBorder="1"/>
    <xf numFmtId="0" fontId="1" fillId="41" borderId="35" xfId="1" applyFill="1" applyBorder="1"/>
    <xf numFmtId="0" fontId="1" fillId="41" borderId="34" xfId="1" applyFont="1" applyFill="1" applyBorder="1" applyAlignment="1" applyProtection="1">
      <alignment horizontal="center" vertical="center"/>
      <protection hidden="1"/>
    </xf>
    <xf numFmtId="0" fontId="1" fillId="41" borderId="11" xfId="1" applyFont="1" applyFill="1" applyBorder="1" applyAlignment="1" applyProtection="1">
      <alignment horizontal="center" vertical="center"/>
      <protection hidden="1"/>
    </xf>
    <xf numFmtId="0" fontId="1" fillId="41" borderId="36" xfId="1" applyFill="1" applyBorder="1" applyAlignment="1">
      <alignment horizontal="center" vertical="center"/>
    </xf>
    <xf numFmtId="0" fontId="1" fillId="41" borderId="0" xfId="1" applyFont="1" applyFill="1" applyBorder="1" applyAlignment="1">
      <alignment horizontal="center" vertical="center"/>
    </xf>
    <xf numFmtId="0" fontId="8" fillId="41" borderId="0" xfId="1" applyFont="1" applyFill="1" applyBorder="1" applyAlignment="1">
      <alignment vertical="center"/>
    </xf>
    <xf numFmtId="0" fontId="8" fillId="41" borderId="35" xfId="1" applyFont="1" applyFill="1" applyBorder="1" applyAlignment="1">
      <alignment vertical="center"/>
    </xf>
    <xf numFmtId="0" fontId="1" fillId="41" borderId="0" xfId="1" applyFill="1" applyBorder="1" applyProtection="1">
      <protection hidden="1"/>
    </xf>
    <xf numFmtId="0" fontId="8" fillId="43" borderId="25" xfId="1" applyFont="1" applyFill="1" applyBorder="1" applyAlignment="1">
      <alignment vertical="center"/>
    </xf>
    <xf numFmtId="0" fontId="8" fillId="43" borderId="24" xfId="1" applyFont="1" applyFill="1" applyBorder="1" applyAlignment="1">
      <alignment vertical="center"/>
    </xf>
    <xf numFmtId="0" fontId="8" fillId="43" borderId="19" xfId="1" applyFont="1" applyFill="1" applyBorder="1" applyAlignment="1">
      <alignment vertical="center"/>
    </xf>
    <xf numFmtId="0" fontId="1" fillId="44" borderId="11" xfId="1" applyFill="1" applyBorder="1" applyAlignment="1" applyProtection="1">
      <alignment horizontal="right" vertical="center"/>
      <protection locked="0"/>
    </xf>
    <xf numFmtId="0" fontId="8" fillId="43" borderId="19" xfId="1" applyFont="1" applyFill="1" applyBorder="1" applyAlignment="1">
      <alignment horizontal="right" vertical="center" wrapText="1"/>
    </xf>
    <xf numFmtId="0" fontId="1" fillId="41" borderId="0" xfId="1" applyFont="1" applyFill="1" applyBorder="1"/>
    <xf numFmtId="0" fontId="1" fillId="44" borderId="3" xfId="1" applyFont="1" applyFill="1" applyBorder="1" applyProtection="1">
      <protection locked="0"/>
    </xf>
    <xf numFmtId="14" fontId="1" fillId="44" borderId="3" xfId="1" applyNumberFormat="1" applyFill="1" applyBorder="1" applyProtection="1">
      <protection locked="0"/>
    </xf>
    <xf numFmtId="0" fontId="1" fillId="44" borderId="3" xfId="1" applyFill="1" applyBorder="1" applyProtection="1">
      <protection locked="0"/>
    </xf>
    <xf numFmtId="3" fontId="1" fillId="44" borderId="5" xfId="1" applyNumberFormat="1" applyFill="1" applyBorder="1" applyAlignment="1" applyProtection="1">
      <alignment vertical="center"/>
      <protection locked="0"/>
    </xf>
    <xf numFmtId="3" fontId="1" fillId="44" borderId="3" xfId="1" applyNumberFormat="1" applyFill="1" applyBorder="1" applyAlignment="1" applyProtection="1">
      <alignment vertical="center"/>
      <protection locked="0"/>
    </xf>
    <xf numFmtId="3" fontId="1" fillId="44" borderId="1" xfId="1" applyNumberFormat="1" applyFill="1" applyBorder="1" applyAlignment="1">
      <alignment vertical="center"/>
    </xf>
    <xf numFmtId="49" fontId="1" fillId="44" borderId="11" xfId="1" applyNumberFormat="1" applyFont="1" applyFill="1" applyBorder="1" applyAlignment="1" applyProtection="1">
      <alignment horizontal="right" vertical="center"/>
      <protection locked="0"/>
    </xf>
    <xf numFmtId="0" fontId="1" fillId="44" borderId="11" xfId="1" applyFont="1" applyFill="1" applyBorder="1" applyAlignment="1" applyProtection="1">
      <alignment horizontal="right" vertical="center"/>
      <protection locked="0"/>
    </xf>
    <xf numFmtId="0" fontId="1" fillId="41" borderId="36" xfId="1" applyFill="1" applyBorder="1" applyAlignment="1">
      <alignment horizontal="center"/>
    </xf>
    <xf numFmtId="0" fontId="1" fillId="41" borderId="0" xfId="1" applyFill="1" applyBorder="1" applyAlignment="1">
      <alignment horizontal="center"/>
    </xf>
    <xf numFmtId="0" fontId="1" fillId="41" borderId="0" xfId="1" applyFill="1" applyBorder="1" applyAlignment="1">
      <alignment vertical="center"/>
    </xf>
    <xf numFmtId="0" fontId="1" fillId="41" borderId="35" xfId="1" applyFill="1" applyBorder="1" applyAlignment="1">
      <alignment horizontal="center"/>
    </xf>
    <xf numFmtId="0" fontId="8" fillId="43" borderId="25" xfId="1" applyFont="1" applyFill="1" applyBorder="1" applyAlignment="1">
      <alignment horizontal="left" vertical="center"/>
    </xf>
    <xf numFmtId="0" fontId="8" fillId="43" borderId="24" xfId="1" applyFont="1" applyFill="1" applyBorder="1"/>
    <xf numFmtId="0" fontId="8" fillId="43" borderId="19" xfId="1" applyFont="1" applyFill="1" applyBorder="1" applyAlignment="1">
      <alignment horizontal="right" vertical="center"/>
    </xf>
    <xf numFmtId="0" fontId="8" fillId="41" borderId="35" xfId="1" applyFont="1" applyFill="1" applyBorder="1" applyAlignment="1">
      <alignment horizontal="right" vertical="center"/>
    </xf>
    <xf numFmtId="0" fontId="1" fillId="41" borderId="0" xfId="1" applyFill="1" applyBorder="1" applyAlignment="1">
      <alignment horizontal="center" vertical="center"/>
    </xf>
    <xf numFmtId="0" fontId="8" fillId="41" borderId="0" xfId="1" applyFont="1" applyFill="1" applyBorder="1" applyAlignment="1">
      <alignment horizontal="left" vertical="center"/>
    </xf>
    <xf numFmtId="0" fontId="8" fillId="41" borderId="0" xfId="1" applyFont="1" applyFill="1" applyBorder="1"/>
    <xf numFmtId="0" fontId="1" fillId="44" borderId="3" xfId="1" applyFill="1" applyBorder="1" applyAlignment="1" applyProtection="1">
      <alignment horizontal="right" vertical="center"/>
      <protection locked="0"/>
    </xf>
    <xf numFmtId="0" fontId="1" fillId="44" borderId="26" xfId="1" applyFill="1" applyBorder="1" applyAlignment="1" applyProtection="1">
      <alignment horizontal="right" vertical="center"/>
      <protection locked="0"/>
    </xf>
    <xf numFmtId="9" fontId="1" fillId="44" borderId="1" xfId="1" applyNumberFormat="1" applyFill="1" applyBorder="1" applyAlignment="1" applyProtection="1">
      <alignment horizontal="right" vertical="center"/>
      <protection locked="0"/>
    </xf>
    <xf numFmtId="0" fontId="1" fillId="44" borderId="19" xfId="1" applyFill="1" applyBorder="1" applyAlignment="1" applyProtection="1">
      <alignment horizontal="right" vertical="center"/>
      <protection locked="0"/>
    </xf>
    <xf numFmtId="0" fontId="1" fillId="44" borderId="5" xfId="1" applyFill="1" applyBorder="1" applyAlignment="1" applyProtection="1">
      <alignment horizontal="right" vertical="center"/>
      <protection locked="0"/>
    </xf>
    <xf numFmtId="0" fontId="1" fillId="44" borderId="1" xfId="1" applyFill="1" applyBorder="1" applyAlignment="1" applyProtection="1">
      <alignment horizontal="right" vertical="center"/>
      <protection locked="0"/>
    </xf>
    <xf numFmtId="0" fontId="8" fillId="43" borderId="33" xfId="1" applyFont="1" applyFill="1" applyBorder="1" applyAlignment="1">
      <alignment vertical="center"/>
    </xf>
    <xf numFmtId="0" fontId="8" fillId="43" borderId="23" xfId="1" applyFont="1" applyFill="1" applyBorder="1" applyAlignment="1">
      <alignment vertical="center"/>
    </xf>
    <xf numFmtId="0" fontId="32" fillId="41" borderId="0" xfId="3" applyFill="1"/>
    <xf numFmtId="0" fontId="32" fillId="44" borderId="36" xfId="3" applyFill="1" applyBorder="1"/>
    <xf numFmtId="0" fontId="32" fillId="44" borderId="0" xfId="3" applyFill="1" applyBorder="1"/>
    <xf numFmtId="0" fontId="32" fillId="44" borderId="0" xfId="3" applyFill="1" applyBorder="1" applyAlignment="1">
      <alignment horizontal="center"/>
    </xf>
    <xf numFmtId="0" fontId="32" fillId="44" borderId="37" xfId="3" applyFill="1" applyBorder="1"/>
    <xf numFmtId="0" fontId="32" fillId="44" borderId="14" xfId="3" applyFill="1" applyBorder="1"/>
    <xf numFmtId="0" fontId="32" fillId="44" borderId="14" xfId="3" applyFill="1" applyBorder="1" applyAlignment="1">
      <alignment horizontal="center"/>
    </xf>
    <xf numFmtId="173" fontId="32" fillId="44" borderId="0" xfId="3" applyNumberFormat="1" applyFill="1" applyBorder="1" applyAlignment="1">
      <alignment horizontal="center"/>
    </xf>
    <xf numFmtId="173" fontId="32" fillId="44" borderId="14" xfId="3" applyNumberFormat="1" applyFill="1" applyBorder="1" applyAlignment="1">
      <alignment horizontal="center"/>
    </xf>
    <xf numFmtId="3" fontId="32" fillId="44" borderId="0" xfId="8" applyFont="1" applyFill="1" applyBorder="1" applyAlignment="1">
      <alignment horizontal="center"/>
    </xf>
    <xf numFmtId="173" fontId="32" fillId="44" borderId="35" xfId="3" applyNumberFormat="1" applyFill="1" applyBorder="1" applyAlignment="1">
      <alignment horizontal="center"/>
    </xf>
    <xf numFmtId="0" fontId="33" fillId="28" borderId="10" xfId="3" applyFont="1" applyFill="1" applyBorder="1" applyAlignment="1">
      <alignment horizontal="center" wrapText="1"/>
    </xf>
    <xf numFmtId="3" fontId="33" fillId="28" borderId="10" xfId="3" applyNumberFormat="1" applyFont="1" applyFill="1" applyBorder="1" applyAlignment="1">
      <alignment horizontal="center" wrapText="1"/>
    </xf>
    <xf numFmtId="0" fontId="32" fillId="28" borderId="10" xfId="3" applyFill="1" applyBorder="1" applyAlignment="1">
      <alignment horizontal="center"/>
    </xf>
    <xf numFmtId="9" fontId="32" fillId="28" borderId="10" xfId="3" applyNumberFormat="1" applyFont="1" applyFill="1" applyBorder="1" applyAlignment="1">
      <alignment horizontal="center"/>
    </xf>
    <xf numFmtId="3" fontId="32" fillId="28" borderId="10" xfId="3" applyNumberFormat="1" applyFill="1" applyBorder="1" applyAlignment="1">
      <alignment horizontal="center"/>
    </xf>
    <xf numFmtId="3" fontId="32" fillId="28" borderId="10" xfId="3" applyNumberFormat="1" applyFill="1" applyBorder="1" applyAlignment="1">
      <alignment horizontal="center" vertical="center"/>
    </xf>
    <xf numFmtId="9" fontId="32" fillId="28" borderId="10" xfId="3" applyNumberFormat="1" applyFont="1" applyFill="1" applyBorder="1" applyAlignment="1">
      <alignment horizontal="center" vertical="center" wrapText="1"/>
    </xf>
    <xf numFmtId="0" fontId="33" fillId="41" borderId="0" xfId="3" applyFont="1" applyFill="1" applyBorder="1" applyAlignment="1">
      <alignment horizontal="center" wrapText="1"/>
    </xf>
    <xf numFmtId="0" fontId="33" fillId="41" borderId="0" xfId="3" applyFont="1" applyFill="1" applyBorder="1" applyAlignment="1">
      <alignment horizontal="center"/>
    </xf>
    <xf numFmtId="0" fontId="48" fillId="28" borderId="0" xfId="3" applyFont="1" applyFill="1" applyAlignment="1"/>
    <xf numFmtId="0" fontId="32" fillId="28" borderId="0" xfId="3" applyFill="1"/>
    <xf numFmtId="0" fontId="33" fillId="28" borderId="37" xfId="3" applyFont="1" applyFill="1" applyBorder="1" applyAlignment="1">
      <alignment horizontal="center" wrapText="1"/>
    </xf>
    <xf numFmtId="0" fontId="33" fillId="28" borderId="14" xfId="3" applyFont="1" applyFill="1" applyBorder="1" applyAlignment="1">
      <alignment horizontal="center" wrapText="1"/>
    </xf>
    <xf numFmtId="0" fontId="33" fillId="28" borderId="79" xfId="3" applyFont="1" applyFill="1" applyBorder="1" applyAlignment="1">
      <alignment horizontal="center" wrapText="1"/>
    </xf>
    <xf numFmtId="0" fontId="32" fillId="28" borderId="36" xfId="3" applyFill="1" applyBorder="1"/>
    <xf numFmtId="3" fontId="32" fillId="28" borderId="15" xfId="8" applyFont="1" applyFill="1" applyBorder="1"/>
    <xf numFmtId="173" fontId="32" fillId="28" borderId="7" xfId="6" applyNumberFormat="1" applyFont="1" applyFill="1" applyBorder="1"/>
    <xf numFmtId="3" fontId="32" fillId="28" borderId="0" xfId="8" applyFont="1" applyFill="1" applyBorder="1"/>
    <xf numFmtId="173" fontId="32" fillId="28" borderId="35" xfId="6" applyNumberFormat="1" applyFont="1" applyFill="1" applyBorder="1"/>
    <xf numFmtId="0" fontId="32" fillId="28" borderId="37" xfId="3" applyFill="1" applyBorder="1"/>
    <xf numFmtId="3" fontId="32" fillId="28" borderId="14" xfId="8" applyFont="1" applyFill="1" applyBorder="1"/>
    <xf numFmtId="173" fontId="32" fillId="28" borderId="79" xfId="6" applyNumberFormat="1" applyFont="1" applyFill="1" applyBorder="1"/>
    <xf numFmtId="0" fontId="32" fillId="42" borderId="0" xfId="3" applyFill="1"/>
    <xf numFmtId="0" fontId="143" fillId="42" borderId="0" xfId="3" applyFont="1" applyFill="1"/>
    <xf numFmtId="0" fontId="144" fillId="42" borderId="0" xfId="3" applyFont="1" applyFill="1" applyAlignment="1">
      <alignment vertical="center"/>
    </xf>
    <xf numFmtId="0" fontId="144" fillId="42" borderId="0" xfId="3" applyFont="1" applyFill="1"/>
    <xf numFmtId="0" fontId="55" fillId="7" borderId="0" xfId="3" applyFont="1" applyFill="1" applyAlignment="1">
      <alignment vertical="center"/>
    </xf>
    <xf numFmtId="0" fontId="53" fillId="44" borderId="0" xfId="3" applyFont="1" applyFill="1" applyAlignment="1">
      <alignment vertical="center"/>
    </xf>
    <xf numFmtId="0" fontId="45" fillId="41" borderId="0" xfId="3" applyFont="1" applyFill="1"/>
    <xf numFmtId="0" fontId="33" fillId="41" borderId="0" xfId="3" applyFont="1" applyFill="1"/>
    <xf numFmtId="0" fontId="39" fillId="41" borderId="0" xfId="3" applyFont="1" applyFill="1"/>
    <xf numFmtId="0" fontId="39" fillId="41" borderId="0" xfId="3" applyFont="1" applyFill="1" applyAlignment="1">
      <alignment vertical="center"/>
    </xf>
    <xf numFmtId="0" fontId="39" fillId="41" borderId="0" xfId="3" applyFont="1" applyFill="1" applyAlignment="1">
      <alignment vertical="center" wrapText="1"/>
    </xf>
    <xf numFmtId="0" fontId="32" fillId="41" borderId="0" xfId="3" applyFill="1" applyAlignment="1">
      <alignment vertical="center"/>
    </xf>
    <xf numFmtId="0" fontId="39" fillId="41" borderId="0" xfId="3" applyFont="1" applyFill="1" applyAlignment="1">
      <alignment wrapText="1"/>
    </xf>
    <xf numFmtId="0" fontId="51" fillId="41" borderId="0" xfId="3" applyFont="1" applyFill="1"/>
    <xf numFmtId="0" fontId="127" fillId="41" borderId="0" xfId="3" applyFont="1" applyFill="1"/>
    <xf numFmtId="0" fontId="39" fillId="28" borderId="0" xfId="3" applyFont="1" applyFill="1"/>
    <xf numFmtId="0" fontId="33" fillId="28" borderId="0" xfId="3" applyFont="1" applyFill="1" applyAlignment="1">
      <alignment vertical="center"/>
    </xf>
    <xf numFmtId="0" fontId="51" fillId="28" borderId="0" xfId="3" applyFont="1" applyFill="1" applyAlignment="1">
      <alignment vertical="center" wrapText="1"/>
    </xf>
    <xf numFmtId="2" fontId="32" fillId="28" borderId="84" xfId="3" applyNumberFormat="1" applyFill="1" applyBorder="1" applyAlignment="1">
      <alignment horizontal="right" vertical="center"/>
    </xf>
    <xf numFmtId="0" fontId="39" fillId="28" borderId="0" xfId="3" applyFont="1" applyFill="1" applyAlignment="1">
      <alignment vertical="center" wrapText="1"/>
    </xf>
    <xf numFmtId="2" fontId="32" fillId="28" borderId="78" xfId="3" applyNumberFormat="1" applyFill="1" applyBorder="1" applyAlignment="1">
      <alignment horizontal="right" vertical="center"/>
    </xf>
    <xf numFmtId="2" fontId="33" fillId="28" borderId="44" xfId="3" applyNumberFormat="1" applyFont="1" applyFill="1" applyBorder="1" applyAlignment="1">
      <alignment horizontal="right" vertical="center"/>
    </xf>
    <xf numFmtId="0" fontId="33" fillId="41" borderId="0" xfId="3" applyFont="1" applyFill="1" applyBorder="1" applyAlignment="1">
      <alignment vertical="center"/>
    </xf>
    <xf numFmtId="0" fontId="51" fillId="41" borderId="0" xfId="3" applyFont="1" applyFill="1" applyBorder="1" applyAlignment="1">
      <alignment vertical="center"/>
    </xf>
    <xf numFmtId="9" fontId="51" fillId="41" borderId="0" xfId="7" applyFont="1" applyFill="1" applyBorder="1" applyAlignment="1">
      <alignment vertical="center"/>
    </xf>
    <xf numFmtId="0" fontId="51" fillId="41" borderId="0" xfId="3" applyNumberFormat="1" applyFont="1" applyFill="1" applyBorder="1" applyAlignment="1">
      <alignment vertical="center" wrapText="1"/>
    </xf>
    <xf numFmtId="0" fontId="51" fillId="41" borderId="0" xfId="3" applyFont="1" applyFill="1" applyBorder="1" applyAlignment="1">
      <alignment vertical="center" wrapText="1"/>
    </xf>
    <xf numFmtId="0" fontId="39" fillId="41" borderId="0" xfId="3" applyFont="1" applyFill="1" applyBorder="1" applyAlignment="1">
      <alignment wrapText="1"/>
    </xf>
    <xf numFmtId="0" fontId="52" fillId="41" borderId="0" xfId="4" applyFont="1" applyFill="1" applyBorder="1" applyAlignment="1" applyProtection="1"/>
    <xf numFmtId="0" fontId="134" fillId="42" borderId="86" xfId="3" applyFont="1" applyFill="1" applyBorder="1" applyAlignment="1">
      <alignment vertical="center"/>
    </xf>
    <xf numFmtId="9" fontId="134" fillId="42" borderId="86" xfId="7" applyFont="1" applyFill="1" applyBorder="1" applyAlignment="1">
      <alignment vertical="center"/>
    </xf>
    <xf numFmtId="0" fontId="134" fillId="42" borderId="86" xfId="3" applyNumberFormat="1" applyFont="1" applyFill="1" applyBorder="1" applyAlignment="1">
      <alignment vertical="center" wrapText="1"/>
    </xf>
    <xf numFmtId="0" fontId="134" fillId="42" borderId="86" xfId="3" applyFont="1" applyFill="1" applyBorder="1" applyAlignment="1">
      <alignment vertical="center" wrapText="1"/>
    </xf>
    <xf numFmtId="0" fontId="139" fillId="42" borderId="86" xfId="3" applyFont="1" applyFill="1" applyBorder="1" applyAlignment="1">
      <alignment wrapText="1"/>
    </xf>
    <xf numFmtId="0" fontId="145" fillId="42" borderId="86" xfId="3" applyFont="1" applyFill="1" applyBorder="1" applyAlignment="1">
      <alignment vertical="center"/>
    </xf>
    <xf numFmtId="0" fontId="39" fillId="33" borderId="0" xfId="3" applyFont="1" applyFill="1"/>
    <xf numFmtId="0" fontId="52" fillId="42" borderId="86" xfId="4" applyFont="1" applyFill="1" applyBorder="1" applyAlignment="1" applyProtection="1"/>
    <xf numFmtId="0" fontId="146" fillId="42" borderId="86" xfId="4" applyFont="1" applyFill="1" applyBorder="1" applyAlignment="1" applyProtection="1"/>
    <xf numFmtId="0" fontId="51" fillId="41" borderId="0" xfId="3" applyFont="1" applyFill="1" applyAlignment="1">
      <alignment vertical="center" wrapText="1"/>
    </xf>
    <xf numFmtId="0" fontId="32" fillId="7" borderId="0" xfId="3" applyFill="1" applyAlignment="1">
      <alignment vertical="center"/>
    </xf>
    <xf numFmtId="0" fontId="53" fillId="44" borderId="0" xfId="3" applyFont="1" applyFill="1" applyAlignment="1" applyProtection="1">
      <alignment vertical="center"/>
      <protection locked="0"/>
    </xf>
    <xf numFmtId="0" fontId="48" fillId="41" borderId="0" xfId="3" applyFont="1" applyFill="1" applyAlignment="1">
      <alignment horizontal="left"/>
    </xf>
    <xf numFmtId="0" fontId="32" fillId="41" borderId="0" xfId="3" applyFont="1" applyFill="1"/>
    <xf numFmtId="2" fontId="33" fillId="28" borderId="44" xfId="9" applyNumberFormat="1" applyFont="1" applyFill="1" applyBorder="1" applyAlignment="1">
      <alignment horizontal="right" vertical="center"/>
    </xf>
    <xf numFmtId="0" fontId="134" fillId="42" borderId="86" xfId="3" applyFont="1" applyFill="1" applyBorder="1" applyAlignment="1">
      <alignment wrapText="1"/>
    </xf>
    <xf numFmtId="0" fontId="147" fillId="42" borderId="86" xfId="4" applyFont="1" applyFill="1" applyBorder="1" applyAlignment="1" applyProtection="1"/>
    <xf numFmtId="0" fontId="134" fillId="42" borderId="86" xfId="3" applyFont="1" applyFill="1" applyBorder="1"/>
    <xf numFmtId="0" fontId="32" fillId="41" borderId="0" xfId="3" applyFont="1" applyFill="1" applyAlignment="1">
      <alignment vertical="center"/>
    </xf>
    <xf numFmtId="0" fontId="51" fillId="42" borderId="0" xfId="3" applyFont="1" applyFill="1"/>
    <xf numFmtId="2" fontId="127" fillId="41" borderId="0" xfId="3" applyNumberFormat="1" applyFont="1" applyFill="1"/>
    <xf numFmtId="0" fontId="0" fillId="41" borderId="0" xfId="0" applyNumberFormat="1" applyFill="1" applyProtection="1"/>
    <xf numFmtId="0" fontId="0" fillId="41" borderId="0" xfId="0" applyNumberFormat="1" applyFill="1" applyAlignment="1" applyProtection="1">
      <alignment horizontal="left"/>
    </xf>
    <xf numFmtId="0" fontId="0" fillId="41" borderId="0" xfId="0" applyNumberFormat="1" applyFill="1" applyAlignment="1" applyProtection="1">
      <alignment horizontal="center"/>
    </xf>
    <xf numFmtId="0" fontId="90" fillId="41" borderId="45" xfId="0" applyNumberFormat="1" applyFont="1" applyFill="1" applyBorder="1" applyAlignment="1" applyProtection="1">
      <alignment horizontal="center" vertical="center" wrapText="1"/>
    </xf>
    <xf numFmtId="0" fontId="0" fillId="41" borderId="14" xfId="0" applyNumberFormat="1" applyFill="1" applyBorder="1" applyProtection="1"/>
    <xf numFmtId="0" fontId="0" fillId="41" borderId="0" xfId="0" applyNumberFormat="1" applyFill="1" applyBorder="1" applyProtection="1"/>
    <xf numFmtId="0" fontId="0" fillId="41" borderId="0" xfId="0" applyNumberFormat="1" applyFill="1" applyBorder="1" applyAlignment="1" applyProtection="1">
      <alignment horizontal="left"/>
    </xf>
    <xf numFmtId="176" fontId="0" fillId="41" borderId="0" xfId="0" applyNumberFormat="1" applyFill="1" applyBorder="1" applyProtection="1"/>
    <xf numFmtId="176" fontId="0" fillId="44" borderId="0" xfId="0" applyNumberFormat="1" applyFill="1" applyBorder="1" applyProtection="1">
      <protection locked="0"/>
    </xf>
    <xf numFmtId="176" fontId="0" fillId="44" borderId="78" xfId="0" applyNumberFormat="1" applyFill="1" applyBorder="1" applyProtection="1">
      <protection locked="0"/>
    </xf>
    <xf numFmtId="176" fontId="0" fillId="44" borderId="44" xfId="0" applyNumberFormat="1" applyFill="1" applyBorder="1" applyProtection="1">
      <protection locked="0"/>
    </xf>
    <xf numFmtId="0" fontId="70" fillId="42" borderId="24" xfId="0" applyNumberFormat="1" applyFont="1" applyFill="1" applyBorder="1" applyAlignment="1" applyProtection="1"/>
    <xf numFmtId="0" fontId="134" fillId="42" borderId="14" xfId="0" applyNumberFormat="1" applyFont="1" applyFill="1" applyBorder="1" applyAlignment="1" applyProtection="1">
      <alignment horizontal="center" vertical="center"/>
    </xf>
    <xf numFmtId="0" fontId="132" fillId="42" borderId="14" xfId="0" applyNumberFormat="1" applyFont="1" applyFill="1" applyBorder="1" applyAlignment="1" applyProtection="1">
      <alignment horizontal="center"/>
    </xf>
    <xf numFmtId="0" fontId="92" fillId="41" borderId="45" xfId="0" applyNumberFormat="1" applyFont="1" applyFill="1" applyBorder="1" applyAlignment="1" applyProtection="1">
      <alignment horizontal="center"/>
    </xf>
    <xf numFmtId="0" fontId="74" fillId="41" borderId="45" xfId="0" applyNumberFormat="1" applyFont="1" applyFill="1" applyBorder="1" applyAlignment="1" applyProtection="1">
      <alignment horizontal="center" vertical="center" textRotation="90" wrapText="1"/>
    </xf>
    <xf numFmtId="0" fontId="84" fillId="41" borderId="84" xfId="0" applyNumberFormat="1" applyFont="1" applyFill="1" applyBorder="1" applyAlignment="1" applyProtection="1">
      <alignment horizontal="left" vertical="center"/>
    </xf>
    <xf numFmtId="0" fontId="84" fillId="41" borderId="78" xfId="0" applyNumberFormat="1" applyFont="1" applyFill="1" applyBorder="1" applyAlignment="1" applyProtection="1">
      <alignment horizontal="left" vertical="center"/>
    </xf>
    <xf numFmtId="0" fontId="84" fillId="41" borderId="44" xfId="0" applyNumberFormat="1" applyFont="1" applyFill="1" applyBorder="1" applyAlignment="1" applyProtection="1">
      <alignment horizontal="left" vertical="center"/>
    </xf>
    <xf numFmtId="0" fontId="91" fillId="41" borderId="24" xfId="0" applyNumberFormat="1" applyFont="1" applyFill="1" applyBorder="1" applyAlignment="1" applyProtection="1">
      <alignment horizontal="center"/>
    </xf>
    <xf numFmtId="0" fontId="91" fillId="41" borderId="23" xfId="0" applyNumberFormat="1" applyFont="1" applyFill="1" applyBorder="1" applyAlignment="1" applyProtection="1">
      <alignment horizontal="center"/>
    </xf>
    <xf numFmtId="0" fontId="0" fillId="44" borderId="45" xfId="0" applyNumberFormat="1" applyFill="1" applyBorder="1" applyAlignment="1" applyProtection="1">
      <alignment horizontal="center"/>
      <protection locked="0"/>
    </xf>
    <xf numFmtId="9" fontId="0" fillId="44" borderId="45" xfId="0" applyNumberFormat="1" applyFill="1" applyBorder="1" applyAlignment="1" applyProtection="1">
      <alignment horizontal="center"/>
      <protection locked="0"/>
    </xf>
    <xf numFmtId="176" fontId="0" fillId="41" borderId="0" xfId="0" applyNumberFormat="1" applyFill="1" applyProtection="1"/>
    <xf numFmtId="176" fontId="0" fillId="44" borderId="8" xfId="0" applyNumberFormat="1" applyFill="1" applyBorder="1" applyProtection="1">
      <protection locked="0"/>
    </xf>
    <xf numFmtId="0" fontId="0" fillId="44" borderId="84" xfId="0" applyNumberFormat="1" applyFill="1" applyBorder="1" applyAlignment="1" applyProtection="1">
      <alignment horizontal="center"/>
      <protection locked="0"/>
    </xf>
    <xf numFmtId="0" fontId="0" fillId="41" borderId="0" xfId="0" applyNumberFormat="1" applyFill="1" applyBorder="1" applyAlignment="1" applyProtection="1">
      <alignment horizontal="center"/>
    </xf>
    <xf numFmtId="176" fontId="0" fillId="44" borderId="36" xfId="0" applyNumberFormat="1" applyFill="1" applyBorder="1" applyProtection="1">
      <protection locked="0"/>
    </xf>
    <xf numFmtId="176" fontId="102" fillId="44" borderId="25" xfId="0" applyNumberFormat="1" applyFont="1" applyFill="1" applyBorder="1" applyAlignment="1" applyProtection="1">
      <protection locked="0"/>
    </xf>
    <xf numFmtId="177" fontId="102" fillId="44" borderId="25" xfId="0" applyNumberFormat="1" applyFont="1" applyFill="1" applyBorder="1" applyAlignment="1" applyProtection="1">
      <protection locked="0"/>
    </xf>
    <xf numFmtId="0" fontId="70" fillId="42" borderId="25" xfId="0" applyNumberFormat="1" applyFont="1" applyFill="1" applyBorder="1" applyAlignment="1" applyProtection="1"/>
    <xf numFmtId="0" fontId="0" fillId="37" borderId="0" xfId="0" applyNumberFormat="1" applyFill="1" applyProtection="1"/>
    <xf numFmtId="0" fontId="0" fillId="37" borderId="0" xfId="0" applyNumberFormat="1" applyFill="1" applyAlignment="1" applyProtection="1">
      <alignment horizontal="left"/>
    </xf>
    <xf numFmtId="0" fontId="90" fillId="37" borderId="45" xfId="0" applyNumberFormat="1" applyFont="1" applyFill="1" applyBorder="1" applyAlignment="1" applyProtection="1">
      <alignment horizontal="center" vertical="center" wrapText="1"/>
    </xf>
    <xf numFmtId="0" fontId="90" fillId="37" borderId="0" xfId="0" applyNumberFormat="1" applyFont="1" applyFill="1" applyBorder="1" applyAlignment="1" applyProtection="1">
      <alignment horizontal="center" vertical="center"/>
    </xf>
    <xf numFmtId="0" fontId="0" fillId="37" borderId="0" xfId="0" applyNumberFormat="1" applyFill="1" applyAlignment="1" applyProtection="1">
      <alignment horizontal="center"/>
    </xf>
    <xf numFmtId="0" fontId="148" fillId="37" borderId="45" xfId="0" applyNumberFormat="1" applyFont="1" applyFill="1" applyBorder="1" applyAlignment="1" applyProtection="1">
      <alignment horizontal="center"/>
    </xf>
    <xf numFmtId="0" fontId="141" fillId="37" borderId="45" xfId="0" applyNumberFormat="1" applyFont="1" applyFill="1" applyBorder="1" applyAlignment="1" applyProtection="1">
      <alignment horizontal="center" vertical="center"/>
    </xf>
    <xf numFmtId="0" fontId="148" fillId="37" borderId="14" xfId="0" applyNumberFormat="1" applyFont="1" applyFill="1" applyBorder="1" applyAlignment="1" applyProtection="1">
      <alignment horizontal="center"/>
    </xf>
    <xf numFmtId="0" fontId="141" fillId="37" borderId="14" xfId="0" applyNumberFormat="1" applyFont="1" applyFill="1" applyBorder="1" applyAlignment="1" applyProtection="1">
      <alignment horizontal="center" vertical="center"/>
    </xf>
    <xf numFmtId="176" fontId="0" fillId="44" borderId="45" xfId="0" applyNumberFormat="1" applyFill="1" applyBorder="1" applyProtection="1">
      <protection locked="0"/>
    </xf>
    <xf numFmtId="177" fontId="0" fillId="44" borderId="44" xfId="0" applyNumberFormat="1" applyFill="1" applyBorder="1" applyProtection="1">
      <protection locked="0"/>
    </xf>
    <xf numFmtId="0" fontId="0" fillId="34" borderId="0" xfId="0" applyNumberFormat="1" applyFill="1" applyProtection="1"/>
    <xf numFmtId="0" fontId="0" fillId="34" borderId="0" xfId="0" applyNumberFormat="1" applyFill="1" applyAlignment="1" applyProtection="1">
      <alignment horizontal="left"/>
    </xf>
    <xf numFmtId="0" fontId="0" fillId="34" borderId="0" xfId="0" applyNumberFormat="1" applyFill="1" applyAlignment="1" applyProtection="1">
      <alignment horizontal="center"/>
    </xf>
    <xf numFmtId="0" fontId="90" fillId="34" borderId="45" xfId="0" applyNumberFormat="1" applyFont="1" applyFill="1" applyBorder="1" applyAlignment="1" applyProtection="1">
      <alignment horizontal="center" vertical="center" wrapText="1"/>
    </xf>
    <xf numFmtId="0" fontId="90" fillId="34" borderId="0" xfId="0" applyNumberFormat="1" applyFont="1" applyFill="1" applyBorder="1" applyAlignment="1" applyProtection="1">
      <alignment horizontal="center" vertical="center"/>
    </xf>
    <xf numFmtId="0" fontId="0" fillId="34" borderId="0" xfId="0" applyNumberFormat="1" applyFill="1" applyBorder="1" applyProtection="1"/>
    <xf numFmtId="0" fontId="0" fillId="34" borderId="0" xfId="0" applyNumberFormat="1" applyFill="1" applyBorder="1" applyAlignment="1" applyProtection="1">
      <alignment horizontal="left"/>
    </xf>
    <xf numFmtId="0" fontId="0" fillId="34" borderId="0" xfId="0" applyNumberFormat="1" applyFill="1" applyBorder="1" applyAlignment="1" applyProtection="1">
      <alignment horizontal="center"/>
    </xf>
    <xf numFmtId="0" fontId="134" fillId="42" borderId="45" xfId="0" applyNumberFormat="1" applyFont="1" applyFill="1" applyBorder="1" applyAlignment="1" applyProtection="1">
      <alignment horizontal="center"/>
    </xf>
    <xf numFmtId="0" fontId="134" fillId="42" borderId="45" xfId="0" applyNumberFormat="1" applyFont="1" applyFill="1" applyBorder="1" applyAlignment="1" applyProtection="1">
      <alignment horizontal="center" vertical="center"/>
    </xf>
    <xf numFmtId="0" fontId="148" fillId="32" borderId="14" xfId="0" applyNumberFormat="1" applyFont="1" applyFill="1" applyBorder="1" applyAlignment="1" applyProtection="1">
      <alignment horizontal="center"/>
    </xf>
    <xf numFmtId="0" fontId="141" fillId="32" borderId="45" xfId="0" applyNumberFormat="1" applyFont="1" applyFill="1" applyBorder="1" applyAlignment="1" applyProtection="1">
      <alignment horizontal="center"/>
    </xf>
    <xf numFmtId="0" fontId="0" fillId="28" borderId="0" xfId="0" applyNumberFormat="1" applyFill="1" applyProtection="1"/>
    <xf numFmtId="0" fontId="0" fillId="28" borderId="0" xfId="0" applyNumberFormat="1" applyFill="1" applyBorder="1" applyProtection="1"/>
    <xf numFmtId="0" fontId="0" fillId="28" borderId="0" xfId="0" applyNumberFormat="1" applyFill="1" applyBorder="1" applyAlignment="1" applyProtection="1">
      <alignment horizontal="left"/>
    </xf>
    <xf numFmtId="0" fontId="0" fillId="28" borderId="0" xfId="0" applyNumberFormat="1" applyFill="1" applyBorder="1" applyAlignment="1" applyProtection="1">
      <alignment horizontal="center"/>
    </xf>
    <xf numFmtId="0" fontId="134" fillId="35" borderId="14" xfId="0" applyNumberFormat="1" applyFont="1" applyFill="1" applyBorder="1" applyAlignment="1" applyProtection="1">
      <alignment horizontal="center" vertical="center"/>
    </xf>
    <xf numFmtId="0" fontId="134" fillId="35" borderId="45" xfId="0" applyNumberFormat="1" applyFont="1" applyFill="1" applyBorder="1" applyAlignment="1" applyProtection="1">
      <alignment horizontal="center" vertical="center"/>
    </xf>
    <xf numFmtId="176" fontId="0" fillId="34" borderId="0" xfId="0" applyNumberFormat="1" applyFill="1" applyBorder="1" applyProtection="1"/>
    <xf numFmtId="0" fontId="0" fillId="37" borderId="0" xfId="0" applyNumberFormat="1" applyFill="1" applyBorder="1" applyProtection="1"/>
    <xf numFmtId="0" fontId="0" fillId="37" borderId="0" xfId="0" applyNumberFormat="1" applyFill="1" applyBorder="1" applyAlignment="1" applyProtection="1">
      <alignment horizontal="left"/>
    </xf>
    <xf numFmtId="176" fontId="0" fillId="37" borderId="0" xfId="0" applyNumberFormat="1" applyFill="1" applyBorder="1" applyProtection="1"/>
    <xf numFmtId="0" fontId="134" fillId="42" borderId="25" xfId="0" applyFont="1" applyFill="1" applyBorder="1"/>
    <xf numFmtId="0" fontId="124" fillId="42" borderId="24" xfId="0" applyFont="1" applyFill="1" applyBorder="1"/>
    <xf numFmtId="0" fontId="124" fillId="42" borderId="23" xfId="0" applyFont="1" applyFill="1" applyBorder="1"/>
    <xf numFmtId="0" fontId="38" fillId="44" borderId="47" xfId="3" applyFont="1" applyFill="1" applyBorder="1"/>
    <xf numFmtId="0" fontId="38" fillId="44" borderId="47" xfId="3" applyFont="1" applyFill="1" applyBorder="1" applyAlignment="1">
      <alignment horizontal="right"/>
    </xf>
    <xf numFmtId="0" fontId="38" fillId="44" borderId="47" xfId="3" applyFont="1" applyFill="1" applyBorder="1" applyAlignment="1">
      <alignment horizontal="left"/>
    </xf>
    <xf numFmtId="3" fontId="38" fillId="44" borderId="47" xfId="3" applyNumberFormat="1" applyFont="1" applyFill="1" applyBorder="1" applyAlignment="1">
      <alignment horizontal="right"/>
    </xf>
    <xf numFmtId="0" fontId="0" fillId="44" borderId="0" xfId="0" applyFill="1"/>
    <xf numFmtId="0" fontId="1" fillId="0" borderId="21" xfId="1" applyBorder="1" applyAlignment="1">
      <alignment horizontal="left" vertical="center" wrapText="1"/>
    </xf>
    <xf numFmtId="0" fontId="1" fillId="0" borderId="9" xfId="1" applyFont="1" applyFill="1" applyBorder="1" applyAlignment="1">
      <alignment vertical="center" wrapText="1"/>
    </xf>
    <xf numFmtId="0" fontId="33" fillId="44" borderId="0" xfId="3" applyFont="1" applyFill="1" applyBorder="1"/>
    <xf numFmtId="9" fontId="32" fillId="44" borderId="0" xfId="9" quotePrefix="1" applyFont="1" applyFill="1" applyBorder="1" applyAlignment="1">
      <alignment horizontal="right"/>
    </xf>
    <xf numFmtId="9" fontId="32" fillId="44" borderId="14" xfId="9" quotePrefix="1" applyFont="1" applyFill="1" applyBorder="1" applyAlignment="1">
      <alignment horizontal="right"/>
    </xf>
    <xf numFmtId="0" fontId="39" fillId="7" borderId="0" xfId="3" applyFont="1" applyFill="1" applyAlignment="1">
      <alignment wrapText="1"/>
    </xf>
    <xf numFmtId="0" fontId="39" fillId="0" borderId="0" xfId="3" applyFont="1" applyFill="1" applyAlignment="1">
      <alignment vertical="top" wrapText="1"/>
    </xf>
    <xf numFmtId="0" fontId="39" fillId="0" borderId="0" xfId="3" quotePrefix="1" applyFont="1" applyFill="1" applyAlignment="1">
      <alignment wrapText="1"/>
    </xf>
    <xf numFmtId="0" fontId="39" fillId="0" borderId="0" xfId="3" applyNumberFormat="1" applyFont="1" applyFill="1" applyAlignment="1">
      <alignment wrapText="1"/>
    </xf>
    <xf numFmtId="0" fontId="33" fillId="10" borderId="0" xfId="3" applyFont="1" applyFill="1" applyAlignment="1">
      <alignment horizontal="left" vertical="center" wrapText="1"/>
    </xf>
    <xf numFmtId="0" fontId="96" fillId="30" borderId="15" xfId="0" applyNumberFormat="1" applyFont="1" applyFill="1" applyBorder="1" applyAlignment="1" applyProtection="1">
      <alignment horizontal="center" wrapText="1"/>
    </xf>
    <xf numFmtId="0" fontId="96" fillId="30" borderId="0" xfId="0" applyNumberFormat="1" applyFont="1" applyFill="1" applyBorder="1" applyAlignment="1" applyProtection="1">
      <alignment horizontal="center" wrapText="1"/>
    </xf>
    <xf numFmtId="9" fontId="108" fillId="30" borderId="7" xfId="0" applyNumberFormat="1" applyFont="1" applyFill="1" applyBorder="1" applyAlignment="1" applyProtection="1">
      <alignment horizontal="center" vertical="center" wrapText="1"/>
    </xf>
    <xf numFmtId="9" fontId="108" fillId="30" borderId="35" xfId="0" applyNumberFormat="1" applyFont="1" applyFill="1" applyBorder="1" applyAlignment="1" applyProtection="1">
      <alignment horizontal="center" vertical="center" wrapText="1"/>
    </xf>
    <xf numFmtId="0" fontId="91" fillId="36" borderId="25" xfId="0" applyNumberFormat="1" applyFont="1" applyFill="1" applyBorder="1" applyAlignment="1" applyProtection="1">
      <alignment horizontal="left"/>
    </xf>
    <xf numFmtId="0" fontId="0" fillId="0" borderId="24" xfId="0" applyBorder="1" applyAlignment="1" applyProtection="1"/>
    <xf numFmtId="0" fontId="86" fillId="0" borderId="25" xfId="0" applyNumberFormat="1" applyFont="1" applyBorder="1" applyAlignment="1" applyProtection="1">
      <alignment horizontal="left" vertical="center" wrapText="1"/>
    </xf>
    <xf numFmtId="0" fontId="86" fillId="0" borderId="23" xfId="0" applyNumberFormat="1" applyFont="1" applyBorder="1" applyAlignment="1" applyProtection="1">
      <alignment horizontal="left" vertical="center" wrapText="1"/>
    </xf>
    <xf numFmtId="0" fontId="70" fillId="42" borderId="8" xfId="0" applyNumberFormat="1" applyFont="1" applyFill="1" applyBorder="1" applyAlignment="1" applyProtection="1">
      <alignment horizontal="center" vertical="center" wrapText="1"/>
    </xf>
    <xf numFmtId="0" fontId="70" fillId="42" borderId="15" xfId="0" applyNumberFormat="1" applyFont="1" applyFill="1" applyBorder="1" applyAlignment="1" applyProtection="1">
      <alignment horizontal="center" vertical="center" wrapText="1"/>
    </xf>
    <xf numFmtId="0" fontId="70" fillId="42" borderId="7" xfId="0" applyNumberFormat="1" applyFont="1" applyFill="1" applyBorder="1" applyAlignment="1" applyProtection="1">
      <alignment horizontal="center" vertical="center" wrapText="1"/>
    </xf>
    <xf numFmtId="0" fontId="70" fillId="42" borderId="37" xfId="0" applyNumberFormat="1" applyFont="1" applyFill="1" applyBorder="1" applyAlignment="1" applyProtection="1">
      <alignment horizontal="center" vertical="center" wrapText="1"/>
    </xf>
    <xf numFmtId="0" fontId="70" fillId="42" borderId="14" xfId="0" applyNumberFormat="1" applyFont="1" applyFill="1" applyBorder="1" applyAlignment="1" applyProtection="1">
      <alignment horizontal="center" vertical="center" wrapText="1"/>
    </xf>
    <xf numFmtId="0" fontId="70" fillId="42" borderId="79" xfId="0" applyNumberFormat="1" applyFont="1" applyFill="1" applyBorder="1" applyAlignment="1" applyProtection="1">
      <alignment horizontal="center" vertical="center" wrapText="1"/>
    </xf>
    <xf numFmtId="0" fontId="107" fillId="28" borderId="8" xfId="0" applyNumberFormat="1" applyFont="1" applyFill="1" applyBorder="1" applyAlignment="1" applyProtection="1">
      <alignment horizontal="center" vertical="center" wrapText="1"/>
    </xf>
    <xf numFmtId="0" fontId="107" fillId="28" borderId="15" xfId="0" applyNumberFormat="1" applyFont="1" applyFill="1" applyBorder="1" applyAlignment="1" applyProtection="1">
      <alignment horizontal="center" vertical="center" wrapText="1"/>
    </xf>
    <xf numFmtId="0" fontId="107" fillId="28" borderId="7" xfId="0" applyNumberFormat="1" applyFont="1" applyFill="1" applyBorder="1" applyAlignment="1" applyProtection="1">
      <alignment horizontal="center" vertical="center" wrapText="1"/>
    </xf>
    <xf numFmtId="0" fontId="107" fillId="28" borderId="36" xfId="0" applyNumberFormat="1" applyFont="1" applyFill="1" applyBorder="1" applyAlignment="1" applyProtection="1">
      <alignment horizontal="center" vertical="center" wrapText="1"/>
    </xf>
    <xf numFmtId="0" fontId="107" fillId="28" borderId="0" xfId="0" applyNumberFormat="1" applyFont="1" applyFill="1" applyBorder="1" applyAlignment="1" applyProtection="1">
      <alignment horizontal="center" vertical="center" wrapText="1"/>
    </xf>
    <xf numFmtId="0" fontId="107" fillId="28" borderId="35" xfId="0" applyNumberFormat="1" applyFont="1" applyFill="1" applyBorder="1" applyAlignment="1" applyProtection="1">
      <alignment horizontal="center" vertical="center" wrapText="1"/>
    </xf>
    <xf numFmtId="0" fontId="107" fillId="28" borderId="37" xfId="0" applyNumberFormat="1" applyFont="1" applyFill="1" applyBorder="1" applyAlignment="1" applyProtection="1">
      <alignment horizontal="center" vertical="center" wrapText="1"/>
    </xf>
    <xf numFmtId="0" fontId="107" fillId="28" borderId="14" xfId="0" applyNumberFormat="1" applyFont="1" applyFill="1" applyBorder="1" applyAlignment="1" applyProtection="1">
      <alignment horizontal="center" vertical="center" wrapText="1"/>
    </xf>
    <xf numFmtId="0" fontId="107" fillId="28" borderId="79" xfId="0" applyNumberFormat="1" applyFont="1" applyFill="1" applyBorder="1" applyAlignment="1" applyProtection="1">
      <alignment horizontal="center" vertical="center" wrapText="1"/>
    </xf>
    <xf numFmtId="0" fontId="102" fillId="22" borderId="15" xfId="0" applyNumberFormat="1" applyFont="1" applyFill="1" applyBorder="1" applyAlignment="1" applyProtection="1">
      <alignment horizontal="left"/>
    </xf>
    <xf numFmtId="0" fontId="102" fillId="22" borderId="15" xfId="0" applyFont="1" applyFill="1" applyBorder="1" applyAlignment="1" applyProtection="1"/>
    <xf numFmtId="0" fontId="102" fillId="22" borderId="7" xfId="0" applyFont="1" applyFill="1" applyBorder="1" applyAlignment="1" applyProtection="1"/>
    <xf numFmtId="0" fontId="112" fillId="0" borderId="8" xfId="0" applyNumberFormat="1" applyFont="1" applyBorder="1" applyAlignment="1" applyProtection="1">
      <alignment horizontal="center" vertical="center"/>
    </xf>
    <xf numFmtId="0" fontId="112" fillId="0" borderId="15" xfId="0" applyNumberFormat="1" applyFont="1" applyBorder="1" applyAlignment="1" applyProtection="1">
      <alignment horizontal="center" vertical="center"/>
    </xf>
    <xf numFmtId="0" fontId="112" fillId="0" borderId="7" xfId="0" applyNumberFormat="1" applyFont="1" applyBorder="1" applyAlignment="1" applyProtection="1">
      <alignment horizontal="center" vertical="center"/>
    </xf>
    <xf numFmtId="0" fontId="112" fillId="0" borderId="37" xfId="0" applyNumberFormat="1" applyFont="1" applyBorder="1" applyAlignment="1" applyProtection="1">
      <alignment horizontal="center" vertical="center"/>
    </xf>
    <xf numFmtId="0" fontId="112" fillId="0" borderId="14" xfId="0" applyNumberFormat="1" applyFont="1" applyBorder="1" applyAlignment="1" applyProtection="1">
      <alignment horizontal="center" vertical="center"/>
    </xf>
    <xf numFmtId="0" fontId="112" fillId="0" borderId="79" xfId="0" applyNumberFormat="1" applyFont="1" applyBorder="1" applyAlignment="1" applyProtection="1">
      <alignment horizontal="center" vertical="center"/>
    </xf>
    <xf numFmtId="0" fontId="70" fillId="35" borderId="8" xfId="0" applyNumberFormat="1" applyFont="1" applyFill="1" applyBorder="1" applyAlignment="1" applyProtection="1">
      <alignment horizontal="center" vertical="center" wrapText="1"/>
    </xf>
    <xf numFmtId="0" fontId="70" fillId="35" borderId="15" xfId="0" applyNumberFormat="1" applyFont="1" applyFill="1" applyBorder="1" applyAlignment="1" applyProtection="1">
      <alignment horizontal="center" vertical="center" wrapText="1"/>
    </xf>
    <xf numFmtId="0" fontId="70" fillId="35" borderId="7" xfId="0" applyNumberFormat="1" applyFont="1" applyFill="1" applyBorder="1" applyAlignment="1" applyProtection="1">
      <alignment horizontal="center" vertical="center" wrapText="1"/>
    </xf>
    <xf numFmtId="0" fontId="70" fillId="35" borderId="37" xfId="0" applyNumberFormat="1" applyFont="1" applyFill="1" applyBorder="1" applyAlignment="1" applyProtection="1">
      <alignment horizontal="center" vertical="center" wrapText="1"/>
    </xf>
    <xf numFmtId="0" fontId="70" fillId="35" borderId="14" xfId="0" applyNumberFormat="1" applyFont="1" applyFill="1" applyBorder="1" applyAlignment="1" applyProtection="1">
      <alignment horizontal="center" vertical="center" wrapText="1"/>
    </xf>
    <xf numFmtId="0" fontId="70" fillId="35" borderId="79" xfId="0" applyNumberFormat="1" applyFont="1" applyFill="1" applyBorder="1" applyAlignment="1" applyProtection="1">
      <alignment horizontal="center" vertical="center" wrapText="1"/>
    </xf>
    <xf numFmtId="0" fontId="70" fillId="38" borderId="8" xfId="0" applyNumberFormat="1" applyFont="1" applyFill="1" applyBorder="1" applyAlignment="1" applyProtection="1">
      <alignment horizontal="center" vertical="center" wrapText="1"/>
    </xf>
    <xf numFmtId="0" fontId="70" fillId="38" borderId="15" xfId="0" applyNumberFormat="1" applyFont="1" applyFill="1" applyBorder="1" applyAlignment="1" applyProtection="1">
      <alignment horizontal="center" vertical="center" wrapText="1"/>
    </xf>
    <xf numFmtId="0" fontId="70" fillId="38" borderId="7" xfId="0" applyNumberFormat="1" applyFont="1" applyFill="1" applyBorder="1" applyAlignment="1" applyProtection="1">
      <alignment horizontal="center" vertical="center" wrapText="1"/>
    </xf>
    <xf numFmtId="0" fontId="70" fillId="38" borderId="37" xfId="0" applyNumberFormat="1" applyFont="1" applyFill="1" applyBorder="1" applyAlignment="1" applyProtection="1">
      <alignment horizontal="center" vertical="center" wrapText="1"/>
    </xf>
    <xf numFmtId="0" fontId="70" fillId="38" borderId="14" xfId="0" applyNumberFormat="1" applyFont="1" applyFill="1" applyBorder="1" applyAlignment="1" applyProtection="1">
      <alignment horizontal="center" vertical="center" wrapText="1"/>
    </xf>
    <xf numFmtId="0" fontId="70" fillId="38" borderId="79" xfId="0" applyNumberFormat="1" applyFont="1" applyFill="1" applyBorder="1" applyAlignment="1" applyProtection="1">
      <alignment horizontal="center" vertical="center" wrapText="1"/>
    </xf>
    <xf numFmtId="0" fontId="0" fillId="44" borderId="84" xfId="0" applyNumberFormat="1" applyFill="1" applyBorder="1" applyAlignment="1" applyProtection="1">
      <alignment horizontal="center" vertical="center"/>
      <protection locked="0"/>
    </xf>
    <xf numFmtId="0" fontId="0" fillId="44" borderId="44" xfId="0" applyFill="1" applyBorder="1" applyAlignment="1" applyProtection="1">
      <alignment horizontal="center" vertical="center"/>
      <protection locked="0"/>
    </xf>
    <xf numFmtId="0" fontId="96" fillId="30" borderId="15" xfId="0" applyNumberFormat="1" applyFont="1" applyFill="1" applyBorder="1" applyAlignment="1" applyProtection="1">
      <alignment horizontal="center" vertical="center" wrapText="1"/>
    </xf>
    <xf numFmtId="0" fontId="96" fillId="30" borderId="0" xfId="0" applyNumberFormat="1" applyFont="1" applyFill="1" applyBorder="1" applyAlignment="1" applyProtection="1">
      <alignment horizontal="center" vertical="center" wrapText="1"/>
    </xf>
    <xf numFmtId="9" fontId="75" fillId="30" borderId="82" xfId="0" applyNumberFormat="1" applyFont="1" applyFill="1" applyBorder="1" applyAlignment="1" applyProtection="1">
      <alignment horizontal="center"/>
    </xf>
    <xf numFmtId="0" fontId="70" fillId="0" borderId="8" xfId="0" applyNumberFormat="1" applyFont="1" applyBorder="1" applyAlignment="1" applyProtection="1">
      <alignment horizontal="center" vertical="center" wrapText="1"/>
    </xf>
    <xf numFmtId="0" fontId="70" fillId="0" borderId="15" xfId="0" applyNumberFormat="1" applyFont="1" applyBorder="1" applyAlignment="1" applyProtection="1">
      <alignment horizontal="center" vertical="center" wrapText="1"/>
    </xf>
    <xf numFmtId="0" fontId="70" fillId="0" borderId="7" xfId="0" applyNumberFormat="1" applyFont="1" applyBorder="1" applyAlignment="1" applyProtection="1">
      <alignment horizontal="center" vertical="center" wrapText="1"/>
    </xf>
    <xf numFmtId="0" fontId="70" fillId="0" borderId="36" xfId="0" applyNumberFormat="1" applyFont="1" applyBorder="1" applyAlignment="1" applyProtection="1">
      <alignment horizontal="center" vertical="center" wrapText="1"/>
    </xf>
    <xf numFmtId="0" fontId="70" fillId="0" borderId="0" xfId="0" applyNumberFormat="1" applyFont="1" applyBorder="1" applyAlignment="1" applyProtection="1">
      <alignment horizontal="center" vertical="center" wrapText="1"/>
    </xf>
    <xf numFmtId="0" fontId="70" fillId="0" borderId="35" xfId="0" applyNumberFormat="1" applyFont="1" applyBorder="1" applyAlignment="1" applyProtection="1">
      <alignment horizontal="center" vertical="center" wrapText="1"/>
    </xf>
    <xf numFmtId="0" fontId="70" fillId="0" borderId="37" xfId="0" applyNumberFormat="1" applyFont="1" applyBorder="1" applyAlignment="1" applyProtection="1">
      <alignment horizontal="center" vertical="center" wrapText="1"/>
    </xf>
    <xf numFmtId="0" fontId="70" fillId="0" borderId="14" xfId="0" applyNumberFormat="1" applyFont="1" applyBorder="1" applyAlignment="1" applyProtection="1">
      <alignment horizontal="center" vertical="center" wrapText="1"/>
    </xf>
    <xf numFmtId="0" fontId="70" fillId="0" borderId="79" xfId="0" applyNumberFormat="1" applyFont="1" applyBorder="1" applyAlignment="1" applyProtection="1">
      <alignment horizontal="center" vertical="center" wrapText="1"/>
    </xf>
    <xf numFmtId="0" fontId="78" fillId="28" borderId="25" xfId="0" applyNumberFormat="1" applyFont="1" applyFill="1" applyBorder="1" applyAlignment="1" applyProtection="1">
      <alignment horizontal="center"/>
    </xf>
    <xf numFmtId="0" fontId="78" fillId="28" borderId="24" xfId="0" applyNumberFormat="1" applyFont="1" applyFill="1" applyBorder="1" applyAlignment="1" applyProtection="1">
      <alignment horizontal="center"/>
    </xf>
    <xf numFmtId="0" fontId="78" fillId="28" borderId="23" xfId="0" applyNumberFormat="1" applyFont="1" applyFill="1" applyBorder="1" applyAlignment="1" applyProtection="1">
      <alignment horizontal="center"/>
    </xf>
    <xf numFmtId="0" fontId="141" fillId="37" borderId="25" xfId="0" applyNumberFormat="1" applyFont="1" applyFill="1" applyBorder="1" applyAlignment="1" applyProtection="1">
      <alignment horizontal="left"/>
    </xf>
    <xf numFmtId="0" fontId="141" fillId="37" borderId="24" xfId="0" applyNumberFormat="1" applyFont="1" applyFill="1" applyBorder="1" applyAlignment="1" applyProtection="1">
      <alignment horizontal="left"/>
    </xf>
    <xf numFmtId="0" fontId="141" fillId="37" borderId="23" xfId="0" applyNumberFormat="1" applyFont="1" applyFill="1" applyBorder="1" applyAlignment="1" applyProtection="1">
      <alignment horizontal="left"/>
    </xf>
    <xf numFmtId="0" fontId="85" fillId="0" borderId="84" xfId="0" applyNumberFormat="1" applyFont="1" applyBorder="1" applyAlignment="1" applyProtection="1">
      <alignment horizontal="center" vertical="center" wrapText="1"/>
    </xf>
    <xf numFmtId="0" fontId="85" fillId="0" borderId="78" xfId="0" applyNumberFormat="1" applyFont="1" applyBorder="1" applyAlignment="1" applyProtection="1">
      <alignment horizontal="center" vertical="center" wrapText="1"/>
    </xf>
    <xf numFmtId="0" fontId="85" fillId="0" borderId="44" xfId="0" applyNumberFormat="1" applyFont="1" applyBorder="1" applyAlignment="1" applyProtection="1">
      <alignment horizontal="center" vertical="center" wrapText="1"/>
    </xf>
    <xf numFmtId="0" fontId="74" fillId="7" borderId="84" xfId="0" applyNumberFormat="1" applyFont="1" applyFill="1" applyBorder="1" applyAlignment="1" applyProtection="1">
      <alignment horizontal="center" vertical="center" textRotation="45"/>
    </xf>
    <xf numFmtId="0" fontId="74" fillId="7" borderId="44" xfId="0" applyNumberFormat="1" applyFont="1" applyFill="1" applyBorder="1" applyAlignment="1" applyProtection="1">
      <alignment horizontal="center" vertical="center" textRotation="45"/>
    </xf>
    <xf numFmtId="0" fontId="73" fillId="7" borderId="8" xfId="0" applyNumberFormat="1" applyFont="1" applyFill="1" applyBorder="1" applyAlignment="1" applyProtection="1">
      <alignment horizontal="center" vertical="center"/>
    </xf>
    <xf numFmtId="0" fontId="73" fillId="7" borderId="7" xfId="0" applyNumberFormat="1" applyFont="1" applyFill="1" applyBorder="1" applyAlignment="1" applyProtection="1">
      <alignment horizontal="center" vertical="center"/>
    </xf>
    <xf numFmtId="0" fontId="73" fillId="7" borderId="37" xfId="0" applyNumberFormat="1" applyFont="1" applyFill="1" applyBorder="1" applyAlignment="1" applyProtection="1">
      <alignment horizontal="center" vertical="center"/>
    </xf>
    <xf numFmtId="0" fontId="73" fillId="7" borderId="79" xfId="0" applyNumberFormat="1" applyFont="1" applyFill="1" applyBorder="1" applyAlignment="1" applyProtection="1">
      <alignment horizontal="center" vertical="center"/>
    </xf>
    <xf numFmtId="0" fontId="86" fillId="0" borderId="8" xfId="0" applyNumberFormat="1" applyFont="1" applyBorder="1" applyAlignment="1" applyProtection="1">
      <alignment horizontal="left" vertical="center" wrapText="1"/>
    </xf>
    <xf numFmtId="0" fontId="86" fillId="0" borderId="15" xfId="0" applyNumberFormat="1" applyFont="1" applyBorder="1" applyAlignment="1" applyProtection="1">
      <alignment horizontal="left" vertical="center" wrapText="1"/>
    </xf>
    <xf numFmtId="0" fontId="86" fillId="0" borderId="7" xfId="0" applyNumberFormat="1" applyFont="1" applyBorder="1" applyAlignment="1" applyProtection="1">
      <alignment horizontal="left" vertical="center" wrapText="1"/>
    </xf>
    <xf numFmtId="0" fontId="86" fillId="0" borderId="88" xfId="0" applyNumberFormat="1" applyFont="1" applyBorder="1" applyAlignment="1" applyProtection="1">
      <alignment horizontal="left" vertical="center" wrapText="1"/>
    </xf>
    <xf numFmtId="0" fontId="86" fillId="0" borderId="83" xfId="0" applyNumberFormat="1" applyFont="1" applyBorder="1" applyAlignment="1" applyProtection="1">
      <alignment horizontal="left" vertical="center" wrapText="1"/>
    </xf>
    <xf numFmtId="0" fontId="86" fillId="0" borderId="43" xfId="0" applyNumberFormat="1" applyFont="1" applyBorder="1" applyAlignment="1" applyProtection="1">
      <alignment horizontal="left" vertical="center" wrapText="1"/>
    </xf>
    <xf numFmtId="0" fontId="83" fillId="0" borderId="87" xfId="0" applyNumberFormat="1" applyFont="1" applyBorder="1" applyAlignment="1" applyProtection="1">
      <alignment horizontal="left" vertical="center" wrapText="1"/>
    </xf>
    <xf numFmtId="0" fontId="83" fillId="0" borderId="86" xfId="0" applyNumberFormat="1" applyFont="1" applyBorder="1" applyAlignment="1" applyProtection="1">
      <alignment horizontal="left" vertical="center" wrapText="1"/>
    </xf>
    <xf numFmtId="0" fontId="83" fillId="0" borderId="38" xfId="0" applyNumberFormat="1" applyFont="1" applyBorder="1" applyAlignment="1" applyProtection="1">
      <alignment horizontal="left" vertical="center" wrapText="1"/>
    </xf>
    <xf numFmtId="0" fontId="74" fillId="0" borderId="84" xfId="0" applyNumberFormat="1" applyFont="1" applyBorder="1" applyAlignment="1" applyProtection="1">
      <alignment horizontal="center" vertical="center" wrapText="1"/>
    </xf>
    <xf numFmtId="0" fontId="74" fillId="0" borderId="78" xfId="0" applyNumberFormat="1" applyFont="1" applyBorder="1" applyAlignment="1" applyProtection="1">
      <alignment horizontal="center" vertical="center" wrapText="1"/>
    </xf>
    <xf numFmtId="0" fontId="0" fillId="0" borderId="78" xfId="0" applyBorder="1" applyAlignment="1" applyProtection="1">
      <alignment horizontal="center" vertical="center" wrapText="1"/>
    </xf>
    <xf numFmtId="0" fontId="0" fillId="0" borderId="44" xfId="0" applyBorder="1" applyAlignment="1" applyProtection="1">
      <alignment horizontal="center" vertical="center" wrapText="1"/>
    </xf>
    <xf numFmtId="0" fontId="70" fillId="30" borderId="8" xfId="0" applyNumberFormat="1" applyFont="1" applyFill="1" applyBorder="1" applyAlignment="1" applyProtection="1">
      <alignment horizontal="center" vertical="center" textRotation="90"/>
    </xf>
    <xf numFmtId="0" fontId="70" fillId="30" borderId="36" xfId="0" applyNumberFormat="1" applyFont="1" applyFill="1" applyBorder="1" applyAlignment="1" applyProtection="1">
      <alignment horizontal="center" vertical="center" textRotation="90"/>
    </xf>
    <xf numFmtId="0" fontId="70" fillId="30" borderId="37" xfId="0" applyNumberFormat="1" applyFont="1" applyFill="1" applyBorder="1" applyAlignment="1" applyProtection="1">
      <alignment horizontal="center" vertical="center" textRotation="90"/>
    </xf>
    <xf numFmtId="0" fontId="0" fillId="0" borderId="78" xfId="0" applyBorder="1" applyProtection="1"/>
    <xf numFmtId="0" fontId="100" fillId="0" borderId="23" xfId="0" applyNumberFormat="1" applyFont="1" applyBorder="1" applyAlignment="1" applyProtection="1">
      <alignment horizontal="left" vertical="center" wrapText="1"/>
    </xf>
    <xf numFmtId="0" fontId="70" fillId="30" borderId="84" xfId="0" applyNumberFormat="1" applyFont="1" applyFill="1" applyBorder="1" applyAlignment="1" applyProtection="1">
      <alignment horizontal="center" vertical="center" textRotation="90"/>
    </xf>
    <xf numFmtId="0" fontId="70" fillId="30" borderId="78" xfId="0" applyNumberFormat="1" applyFont="1" applyFill="1" applyBorder="1" applyAlignment="1" applyProtection="1">
      <alignment horizontal="center" vertical="center" textRotation="90"/>
    </xf>
    <xf numFmtId="0" fontId="70" fillId="30" borderId="44" xfId="0" applyNumberFormat="1" applyFont="1" applyFill="1" applyBorder="1" applyAlignment="1" applyProtection="1">
      <alignment horizontal="center" vertical="center" textRotation="90"/>
    </xf>
    <xf numFmtId="0" fontId="86" fillId="0" borderId="89" xfId="0" applyNumberFormat="1" applyFont="1" applyBorder="1" applyAlignment="1" applyProtection="1">
      <alignment horizontal="left" vertical="center" wrapText="1"/>
    </xf>
    <xf numFmtId="0" fontId="86" fillId="0" borderId="75" xfId="0" applyNumberFormat="1" applyFont="1" applyBorder="1" applyAlignment="1" applyProtection="1">
      <alignment horizontal="left" vertical="center" wrapText="1"/>
    </xf>
    <xf numFmtId="0" fontId="86" fillId="0" borderId="39" xfId="0" applyNumberFormat="1" applyFont="1" applyBorder="1" applyAlignment="1" applyProtection="1">
      <alignment horizontal="left" vertical="center" wrapText="1"/>
    </xf>
    <xf numFmtId="0" fontId="92" fillId="2" borderId="84" xfId="0" applyNumberFormat="1" applyFont="1" applyFill="1" applyBorder="1" applyAlignment="1" applyProtection="1">
      <alignment horizontal="center" vertical="center"/>
    </xf>
    <xf numFmtId="0" fontId="0" fillId="0" borderId="44" xfId="0" applyBorder="1" applyProtection="1"/>
    <xf numFmtId="177" fontId="70" fillId="0" borderId="36" xfId="0" applyNumberFormat="1" applyFont="1" applyBorder="1" applyAlignment="1" applyProtection="1">
      <alignment horizontal="left"/>
    </xf>
    <xf numFmtId="177" fontId="70" fillId="0" borderId="0" xfId="0" applyNumberFormat="1" applyFont="1" applyBorder="1" applyAlignment="1" applyProtection="1">
      <alignment horizontal="left"/>
    </xf>
    <xf numFmtId="177" fontId="70" fillId="0" borderId="35" xfId="0" applyNumberFormat="1" applyFont="1" applyBorder="1" applyAlignment="1" applyProtection="1">
      <alignment horizontal="left"/>
    </xf>
    <xf numFmtId="177" fontId="81" fillId="0" borderId="36" xfId="0" applyNumberFormat="1" applyFont="1" applyFill="1" applyBorder="1" applyAlignment="1" applyProtection="1">
      <alignment horizontal="left"/>
    </xf>
    <xf numFmtId="177" fontId="81" fillId="0" borderId="0" xfId="0" applyNumberFormat="1" applyFont="1" applyFill="1" applyBorder="1" applyAlignment="1" applyProtection="1">
      <alignment horizontal="left"/>
    </xf>
    <xf numFmtId="0" fontId="0" fillId="0" borderId="36" xfId="0" applyNumberFormat="1" applyFill="1" applyBorder="1" applyAlignment="1" applyProtection="1">
      <alignment horizontal="right"/>
    </xf>
    <xf numFmtId="176" fontId="0" fillId="0" borderId="35" xfId="0" applyNumberFormat="1" applyFill="1" applyBorder="1" applyAlignment="1" applyProtection="1">
      <alignment horizontal="right"/>
    </xf>
    <xf numFmtId="177" fontId="81" fillId="0" borderId="25" xfId="0" applyNumberFormat="1" applyFont="1" applyFill="1" applyBorder="1" applyAlignment="1" applyProtection="1">
      <alignment horizontal="left"/>
    </xf>
    <xf numFmtId="177" fontId="81" fillId="0" borderId="24" xfId="0" applyNumberFormat="1" applyFont="1" applyFill="1" applyBorder="1" applyAlignment="1" applyProtection="1">
      <alignment horizontal="left"/>
    </xf>
    <xf numFmtId="177" fontId="81" fillId="0" borderId="23" xfId="0" applyNumberFormat="1" applyFont="1" applyFill="1" applyBorder="1" applyAlignment="1" applyProtection="1">
      <alignment horizontal="left"/>
    </xf>
    <xf numFmtId="0" fontId="70" fillId="30" borderId="84" xfId="0" applyNumberFormat="1" applyFont="1" applyFill="1" applyBorder="1" applyAlignment="1" applyProtection="1">
      <alignment horizontal="center" vertical="center"/>
    </xf>
    <xf numFmtId="0" fontId="70" fillId="30" borderId="44" xfId="0" applyNumberFormat="1" applyFont="1" applyFill="1" applyBorder="1" applyAlignment="1" applyProtection="1">
      <alignment horizontal="center" vertical="center"/>
    </xf>
    <xf numFmtId="177" fontId="0" fillId="44" borderId="25" xfId="0" applyNumberFormat="1" applyFill="1" applyBorder="1" applyAlignment="1" applyProtection="1">
      <alignment horizontal="right"/>
      <protection locked="0"/>
    </xf>
    <xf numFmtId="177" fontId="0" fillId="44" borderId="23" xfId="0" applyNumberFormat="1" applyFill="1" applyBorder="1" applyAlignment="1" applyProtection="1">
      <alignment horizontal="right"/>
      <protection locked="0"/>
    </xf>
    <xf numFmtId="0" fontId="91" fillId="30" borderId="25" xfId="0" applyNumberFormat="1" applyFont="1" applyFill="1" applyBorder="1" applyAlignment="1" applyProtection="1">
      <alignment horizontal="left"/>
    </xf>
    <xf numFmtId="0" fontId="0" fillId="30" borderId="24" xfId="0" applyFill="1" applyBorder="1" applyAlignment="1" applyProtection="1"/>
    <xf numFmtId="0" fontId="141" fillId="32" borderId="25" xfId="0" applyNumberFormat="1" applyFont="1" applyFill="1" applyBorder="1" applyAlignment="1" applyProtection="1">
      <alignment horizontal="left"/>
    </xf>
    <xf numFmtId="0" fontId="141" fillId="32" borderId="24" xfId="0" applyNumberFormat="1" applyFont="1" applyFill="1" applyBorder="1" applyAlignment="1" applyProtection="1">
      <alignment horizontal="left"/>
    </xf>
    <xf numFmtId="0" fontId="141" fillId="32" borderId="23" xfId="0" applyNumberFormat="1" applyFont="1" applyFill="1" applyBorder="1" applyAlignment="1" applyProtection="1">
      <alignment horizontal="left"/>
    </xf>
    <xf numFmtId="0" fontId="74" fillId="0" borderId="44" xfId="0" applyNumberFormat="1" applyFont="1" applyBorder="1" applyAlignment="1" applyProtection="1">
      <alignment horizontal="center" vertical="center" wrapText="1"/>
    </xf>
    <xf numFmtId="0" fontId="86" fillId="0" borderId="25" xfId="0" applyNumberFormat="1" applyFont="1" applyBorder="1" applyAlignment="1" applyProtection="1">
      <alignment horizontal="left" vertical="top" wrapText="1"/>
    </xf>
    <xf numFmtId="0" fontId="86" fillId="0" borderId="23" xfId="0" applyNumberFormat="1" applyFont="1" applyBorder="1" applyAlignment="1" applyProtection="1">
      <alignment horizontal="left" vertical="top" wrapText="1"/>
    </xf>
    <xf numFmtId="0" fontId="70" fillId="36" borderId="8" xfId="0" applyNumberFormat="1" applyFont="1" applyFill="1" applyBorder="1" applyAlignment="1" applyProtection="1">
      <alignment horizontal="center" vertical="center" textRotation="90"/>
    </xf>
    <xf numFmtId="0" fontId="70" fillId="36" borderId="36" xfId="0" applyNumberFormat="1" applyFont="1" applyFill="1" applyBorder="1" applyAlignment="1" applyProtection="1">
      <alignment horizontal="center" vertical="center" textRotation="90"/>
    </xf>
    <xf numFmtId="176" fontId="0" fillId="30" borderId="25" xfId="0" applyNumberFormat="1" applyFill="1" applyBorder="1" applyAlignment="1" applyProtection="1">
      <alignment horizontal="right"/>
      <protection locked="0"/>
    </xf>
    <xf numFmtId="176" fontId="0" fillId="30" borderId="23" xfId="0" applyNumberFormat="1" applyFill="1" applyBorder="1" applyAlignment="1" applyProtection="1">
      <alignment horizontal="right"/>
      <protection locked="0"/>
    </xf>
    <xf numFmtId="177" fontId="0" fillId="30" borderId="25" xfId="0" applyNumberFormat="1" applyFill="1" applyBorder="1" applyAlignment="1" applyProtection="1">
      <alignment horizontal="right"/>
      <protection locked="0"/>
    </xf>
    <xf numFmtId="177" fontId="0" fillId="30" borderId="23" xfId="0" applyNumberFormat="1" applyFill="1" applyBorder="1" applyAlignment="1" applyProtection="1">
      <alignment horizontal="right"/>
      <protection locked="0"/>
    </xf>
    <xf numFmtId="0" fontId="134" fillId="35" borderId="8" xfId="0" applyNumberFormat="1" applyFont="1" applyFill="1" applyBorder="1" applyAlignment="1" applyProtection="1">
      <alignment horizontal="center" vertical="center"/>
    </xf>
    <xf numFmtId="0" fontId="134" fillId="35" borderId="15" xfId="0" applyNumberFormat="1" applyFont="1" applyFill="1" applyBorder="1" applyAlignment="1" applyProtection="1">
      <alignment horizontal="center" vertical="center"/>
    </xf>
    <xf numFmtId="0" fontId="134" fillId="35" borderId="7" xfId="0" applyNumberFormat="1" applyFont="1" applyFill="1" applyBorder="1" applyAlignment="1" applyProtection="1">
      <alignment horizontal="center" vertical="center"/>
    </xf>
    <xf numFmtId="0" fontId="134" fillId="35" borderId="36" xfId="0" applyNumberFormat="1" applyFont="1" applyFill="1" applyBorder="1" applyAlignment="1" applyProtection="1">
      <alignment horizontal="center" vertical="center"/>
    </xf>
    <xf numFmtId="0" fontId="134" fillId="35" borderId="0" xfId="0" applyNumberFormat="1" applyFont="1" applyFill="1" applyBorder="1" applyAlignment="1" applyProtection="1">
      <alignment horizontal="center" vertical="center"/>
    </xf>
    <xf numFmtId="0" fontId="134" fillId="35" borderId="14" xfId="0" applyNumberFormat="1" applyFont="1" applyFill="1" applyBorder="1" applyAlignment="1" applyProtection="1">
      <alignment horizontal="center" vertical="center"/>
    </xf>
    <xf numFmtId="0" fontId="134" fillId="35" borderId="79" xfId="0" applyNumberFormat="1" applyFont="1" applyFill="1" applyBorder="1" applyAlignment="1" applyProtection="1">
      <alignment horizontal="center" vertical="center"/>
    </xf>
    <xf numFmtId="0" fontId="134" fillId="35" borderId="25" xfId="0" applyNumberFormat="1" applyFont="1" applyFill="1" applyBorder="1" applyAlignment="1" applyProtection="1">
      <alignment horizontal="left" vertical="center"/>
    </xf>
    <xf numFmtId="0" fontId="134" fillId="35" borderId="24" xfId="0" applyNumberFormat="1" applyFont="1" applyFill="1" applyBorder="1" applyAlignment="1" applyProtection="1">
      <alignment horizontal="left" vertical="center"/>
    </xf>
    <xf numFmtId="0" fontId="134" fillId="35" borderId="23" xfId="0" applyNumberFormat="1" applyFont="1" applyFill="1" applyBorder="1" applyAlignment="1" applyProtection="1">
      <alignment horizontal="left" vertical="center"/>
    </xf>
    <xf numFmtId="0" fontId="0" fillId="0" borderId="36" xfId="0" applyNumberFormat="1" applyBorder="1" applyAlignment="1" applyProtection="1">
      <alignment horizontal="center"/>
    </xf>
    <xf numFmtId="0" fontId="0" fillId="0" borderId="35" xfId="0" applyNumberFormat="1" applyBorder="1" applyAlignment="1" applyProtection="1">
      <alignment horizontal="center"/>
    </xf>
    <xf numFmtId="0" fontId="70" fillId="2" borderId="8" xfId="0" applyNumberFormat="1" applyFont="1" applyFill="1" applyBorder="1" applyAlignment="1" applyProtection="1">
      <alignment horizontal="center" vertical="center"/>
    </xf>
    <xf numFmtId="0" fontId="70" fillId="2" borderId="15" xfId="0" applyNumberFormat="1" applyFont="1" applyFill="1" applyBorder="1" applyAlignment="1" applyProtection="1">
      <alignment horizontal="center" vertical="center"/>
    </xf>
    <xf numFmtId="0" fontId="70" fillId="2" borderId="7" xfId="0" applyNumberFormat="1" applyFont="1" applyFill="1" applyBorder="1" applyAlignment="1" applyProtection="1">
      <alignment horizontal="center" vertical="center"/>
    </xf>
    <xf numFmtId="0" fontId="70" fillId="2" borderId="37" xfId="0" applyNumberFormat="1" applyFont="1" applyFill="1" applyBorder="1" applyAlignment="1" applyProtection="1">
      <alignment horizontal="center" vertical="center"/>
    </xf>
    <xf numFmtId="0" fontId="70" fillId="2" borderId="14" xfId="0" applyNumberFormat="1" applyFont="1" applyFill="1" applyBorder="1" applyAlignment="1" applyProtection="1">
      <alignment horizontal="center" vertical="center"/>
    </xf>
    <xf numFmtId="0" fontId="70" fillId="2" borderId="79" xfId="0" applyNumberFormat="1" applyFont="1" applyFill="1" applyBorder="1" applyAlignment="1" applyProtection="1">
      <alignment horizontal="center" vertical="center"/>
    </xf>
    <xf numFmtId="0" fontId="70" fillId="36" borderId="37" xfId="0" applyNumberFormat="1" applyFont="1" applyFill="1" applyBorder="1" applyAlignment="1" applyProtection="1">
      <alignment horizontal="center" vertical="center" textRotation="90"/>
    </xf>
    <xf numFmtId="0" fontId="86" fillId="0" borderId="80" xfId="0" applyNumberFormat="1" applyFont="1" applyBorder="1" applyAlignment="1" applyProtection="1">
      <alignment horizontal="left" vertical="center" wrapText="1"/>
    </xf>
    <xf numFmtId="0" fontId="86" fillId="0" borderId="93" xfId="0" applyNumberFormat="1" applyFont="1" applyBorder="1" applyAlignment="1" applyProtection="1">
      <alignment horizontal="left" vertical="center" wrapText="1"/>
    </xf>
    <xf numFmtId="0" fontId="86" fillId="0" borderId="41" xfId="0" applyNumberFormat="1" applyFont="1" applyBorder="1" applyAlignment="1" applyProtection="1">
      <alignment horizontal="left" vertical="center" wrapText="1"/>
    </xf>
    <xf numFmtId="0" fontId="70" fillId="41" borderId="8" xfId="0" applyNumberFormat="1" applyFont="1" applyFill="1" applyBorder="1" applyAlignment="1" applyProtection="1">
      <alignment horizontal="center" vertical="center" textRotation="90"/>
    </xf>
    <xf numFmtId="0" fontId="70" fillId="41" borderId="36" xfId="0" applyNumberFormat="1" applyFont="1" applyFill="1" applyBorder="1" applyAlignment="1" applyProtection="1">
      <alignment horizontal="center" vertical="center" textRotation="90"/>
    </xf>
    <xf numFmtId="0" fontId="70" fillId="41" borderId="37" xfId="0" applyNumberFormat="1" applyFont="1" applyFill="1" applyBorder="1" applyAlignment="1" applyProtection="1">
      <alignment horizontal="center" vertical="center" textRotation="90"/>
    </xf>
    <xf numFmtId="0" fontId="70" fillId="36" borderId="84" xfId="0" applyNumberFormat="1" applyFont="1" applyFill="1" applyBorder="1" applyAlignment="1" applyProtection="1">
      <alignment horizontal="center" vertical="center" textRotation="90"/>
    </xf>
    <xf numFmtId="0" fontId="70" fillId="36" borderId="78" xfId="0" applyNumberFormat="1" applyFont="1" applyFill="1" applyBorder="1" applyAlignment="1" applyProtection="1">
      <alignment horizontal="center" vertical="center" textRotation="90"/>
    </xf>
    <xf numFmtId="0" fontId="70" fillId="36" borderId="44" xfId="0" applyNumberFormat="1" applyFont="1" applyFill="1" applyBorder="1" applyAlignment="1" applyProtection="1">
      <alignment horizontal="center" vertical="center" textRotation="90"/>
    </xf>
    <xf numFmtId="0" fontId="83" fillId="0" borderId="0" xfId="0" applyNumberFormat="1" applyFont="1" applyBorder="1" applyAlignment="1" applyProtection="1">
      <alignment horizontal="left" vertical="center" wrapText="1"/>
    </xf>
    <xf numFmtId="0" fontId="83" fillId="0" borderId="35" xfId="0" applyNumberFormat="1" applyFont="1" applyBorder="1" applyAlignment="1" applyProtection="1">
      <alignment horizontal="left" vertical="center" wrapText="1"/>
    </xf>
    <xf numFmtId="0" fontId="91" fillId="41" borderId="25" xfId="0" applyNumberFormat="1" applyFont="1" applyFill="1" applyBorder="1" applyAlignment="1" applyProtection="1">
      <alignment horizontal="left"/>
    </xf>
    <xf numFmtId="0" fontId="0" fillId="41" borderId="24" xfId="0" applyFill="1" applyBorder="1" applyAlignment="1" applyProtection="1"/>
    <xf numFmtId="0" fontId="70" fillId="0" borderId="8" xfId="0" applyNumberFormat="1" applyFont="1" applyBorder="1" applyAlignment="1" applyProtection="1">
      <alignment horizontal="left"/>
    </xf>
    <xf numFmtId="0" fontId="70" fillId="0" borderId="15" xfId="0" applyNumberFormat="1" applyFont="1" applyBorder="1" applyAlignment="1" applyProtection="1">
      <alignment horizontal="left"/>
    </xf>
    <xf numFmtId="0" fontId="70" fillId="0" borderId="7" xfId="0" applyNumberFormat="1" applyFont="1" applyBorder="1" applyAlignment="1" applyProtection="1">
      <alignment horizontal="left"/>
    </xf>
    <xf numFmtId="0" fontId="141" fillId="38" borderId="8" xfId="0" applyNumberFormat="1" applyFont="1" applyFill="1" applyBorder="1" applyAlignment="1" applyProtection="1">
      <alignment horizontal="center" vertical="center"/>
    </xf>
    <xf numFmtId="0" fontId="141" fillId="38" borderId="15" xfId="0" applyNumberFormat="1" applyFont="1" applyFill="1" applyBorder="1" applyAlignment="1" applyProtection="1">
      <alignment horizontal="center" vertical="center"/>
    </xf>
    <xf numFmtId="0" fontId="141" fillId="38" borderId="37" xfId="0" applyNumberFormat="1" applyFont="1" applyFill="1" applyBorder="1" applyAlignment="1" applyProtection="1">
      <alignment horizontal="center" vertical="center"/>
    </xf>
    <xf numFmtId="0" fontId="141" fillId="38" borderId="14" xfId="0" applyNumberFormat="1" applyFont="1" applyFill="1" applyBorder="1" applyAlignment="1" applyProtection="1">
      <alignment horizontal="center" vertical="center"/>
    </xf>
    <xf numFmtId="176" fontId="14" fillId="30" borderId="25" xfId="0" applyNumberFormat="1" applyFont="1" applyFill="1" applyBorder="1" applyAlignment="1" applyProtection="1">
      <alignment horizontal="right"/>
    </xf>
    <xf numFmtId="176" fontId="14" fillId="30" borderId="23" xfId="0" applyNumberFormat="1" applyFont="1" applyFill="1" applyBorder="1" applyAlignment="1" applyProtection="1">
      <alignment horizontal="right"/>
    </xf>
    <xf numFmtId="0" fontId="74" fillId="33" borderId="84" xfId="0" applyNumberFormat="1" applyFont="1" applyFill="1" applyBorder="1" applyAlignment="1" applyProtection="1">
      <alignment horizontal="center" vertical="center" wrapText="1"/>
    </xf>
    <xf numFmtId="0" fontId="74" fillId="33" borderId="78" xfId="0" applyNumberFormat="1" applyFont="1" applyFill="1" applyBorder="1" applyAlignment="1" applyProtection="1">
      <alignment horizontal="center" vertical="center" wrapText="1"/>
    </xf>
    <xf numFmtId="0" fontId="74" fillId="33" borderId="44" xfId="0" applyNumberFormat="1" applyFont="1" applyFill="1" applyBorder="1" applyAlignment="1" applyProtection="1">
      <alignment horizontal="center" vertical="center" wrapText="1"/>
    </xf>
    <xf numFmtId="177" fontId="70" fillId="0" borderId="8" xfId="0" applyNumberFormat="1" applyFont="1" applyBorder="1" applyAlignment="1" applyProtection="1">
      <alignment horizontal="left"/>
    </xf>
    <xf numFmtId="177" fontId="70" fillId="0" borderId="15" xfId="0" applyNumberFormat="1" applyFont="1" applyBorder="1" applyAlignment="1" applyProtection="1">
      <alignment horizontal="left"/>
    </xf>
    <xf numFmtId="0" fontId="109" fillId="0" borderId="25" xfId="0" applyNumberFormat="1" applyFont="1" applyBorder="1" applyAlignment="1" applyProtection="1">
      <alignment horizontal="center"/>
    </xf>
    <xf numFmtId="0" fontId="109" fillId="0" borderId="23" xfId="0" applyNumberFormat="1" applyFont="1" applyBorder="1" applyAlignment="1" applyProtection="1">
      <alignment horizontal="center"/>
    </xf>
    <xf numFmtId="0" fontId="83" fillId="0" borderId="75" xfId="0" applyNumberFormat="1" applyFont="1" applyBorder="1" applyAlignment="1" applyProtection="1">
      <alignment horizontal="left" vertical="center" wrapText="1"/>
    </xf>
    <xf numFmtId="0" fontId="83" fillId="0" borderId="39" xfId="0" applyNumberFormat="1" applyFont="1" applyBorder="1" applyAlignment="1" applyProtection="1">
      <alignment horizontal="left" vertical="center" wrapText="1"/>
    </xf>
    <xf numFmtId="0" fontId="83" fillId="0" borderId="14" xfId="0" applyNumberFormat="1" applyFont="1" applyBorder="1" applyAlignment="1" applyProtection="1">
      <alignment horizontal="left" vertical="center" wrapText="1"/>
    </xf>
    <xf numFmtId="0" fontId="83" fillId="0" borderId="79" xfId="0" applyNumberFormat="1" applyFont="1" applyBorder="1" applyAlignment="1" applyProtection="1">
      <alignment horizontal="left" vertical="center" wrapText="1"/>
    </xf>
    <xf numFmtId="0" fontId="85" fillId="0" borderId="8" xfId="0" applyNumberFormat="1" applyFont="1" applyBorder="1" applyAlignment="1" applyProtection="1">
      <alignment horizontal="center" vertical="center" wrapText="1"/>
    </xf>
    <xf numFmtId="0" fontId="85" fillId="0" borderId="7" xfId="0" applyNumberFormat="1" applyFont="1" applyBorder="1" applyAlignment="1" applyProtection="1">
      <alignment horizontal="center" vertical="center" wrapText="1"/>
    </xf>
    <xf numFmtId="0" fontId="85" fillId="0" borderId="36" xfId="0" applyNumberFormat="1" applyFont="1" applyBorder="1" applyAlignment="1" applyProtection="1">
      <alignment horizontal="center" vertical="center" wrapText="1"/>
    </xf>
    <xf numFmtId="0" fontId="85" fillId="0" borderId="35" xfId="0" applyNumberFormat="1" applyFont="1" applyBorder="1" applyAlignment="1" applyProtection="1">
      <alignment horizontal="center" vertical="center" wrapText="1"/>
    </xf>
    <xf numFmtId="0" fontId="85" fillId="0" borderId="37" xfId="0" applyNumberFormat="1" applyFont="1" applyBorder="1" applyAlignment="1" applyProtection="1">
      <alignment horizontal="center" vertical="center" wrapText="1"/>
    </xf>
    <xf numFmtId="0" fontId="85" fillId="0" borderId="79" xfId="0" applyNumberFormat="1" applyFont="1" applyBorder="1" applyAlignment="1" applyProtection="1">
      <alignment horizontal="center" vertical="center" wrapText="1"/>
    </xf>
    <xf numFmtId="0" fontId="83" fillId="0" borderId="83" xfId="0" applyNumberFormat="1" applyFont="1" applyBorder="1" applyAlignment="1" applyProtection="1">
      <alignment horizontal="left" vertical="center" wrapText="1"/>
    </xf>
    <xf numFmtId="0" fontId="83" fillId="0" borderId="43" xfId="0" applyNumberFormat="1" applyFont="1" applyBorder="1" applyAlignment="1" applyProtection="1">
      <alignment horizontal="left" vertical="center" wrapText="1"/>
    </xf>
    <xf numFmtId="0" fontId="92" fillId="2" borderId="8" xfId="0" applyNumberFormat="1" applyFont="1" applyFill="1" applyBorder="1" applyAlignment="1" applyProtection="1">
      <alignment horizontal="center" vertical="center"/>
    </xf>
    <xf numFmtId="0" fontId="92" fillId="2" borderId="7" xfId="0" applyNumberFormat="1" applyFont="1" applyFill="1" applyBorder="1" applyAlignment="1" applyProtection="1">
      <alignment horizontal="center" vertical="center"/>
    </xf>
    <xf numFmtId="0" fontId="92" fillId="2" borderId="37" xfId="0" applyNumberFormat="1" applyFont="1" applyFill="1" applyBorder="1" applyAlignment="1" applyProtection="1">
      <alignment horizontal="center" vertical="center"/>
    </xf>
    <xf numFmtId="0" fontId="92" fillId="2" borderId="79" xfId="0" applyNumberFormat="1" applyFont="1" applyFill="1" applyBorder="1" applyAlignment="1" applyProtection="1">
      <alignment horizontal="center" vertical="center"/>
    </xf>
    <xf numFmtId="0" fontId="70" fillId="0" borderId="36" xfId="0" applyNumberFormat="1" applyFont="1" applyBorder="1" applyAlignment="1" applyProtection="1">
      <alignment horizontal="left"/>
    </xf>
    <xf numFmtId="0" fontId="70" fillId="0" borderId="35" xfId="0" applyNumberFormat="1" applyFont="1" applyBorder="1" applyAlignment="1" applyProtection="1">
      <alignment horizontal="left"/>
    </xf>
    <xf numFmtId="176" fontId="0" fillId="44" borderId="25" xfId="0" applyNumberFormat="1" applyFill="1" applyBorder="1" applyAlignment="1" applyProtection="1">
      <alignment horizontal="right"/>
      <protection locked="0"/>
    </xf>
    <xf numFmtId="176" fontId="0" fillId="44" borderId="23" xfId="0" applyNumberFormat="1" applyFill="1" applyBorder="1" applyAlignment="1" applyProtection="1">
      <alignment horizontal="right"/>
      <protection locked="0"/>
    </xf>
    <xf numFmtId="0" fontId="70" fillId="0" borderId="25" xfId="0" applyNumberFormat="1" applyFont="1" applyBorder="1" applyAlignment="1" applyProtection="1">
      <alignment horizontal="left"/>
    </xf>
    <xf numFmtId="0" fontId="70" fillId="0" borderId="23" xfId="0" applyNumberFormat="1" applyFont="1" applyBorder="1" applyAlignment="1" applyProtection="1">
      <alignment horizontal="left"/>
    </xf>
    <xf numFmtId="176" fontId="0" fillId="44" borderId="36" xfId="0" applyNumberFormat="1" applyFill="1" applyBorder="1" applyAlignment="1" applyProtection="1">
      <alignment horizontal="right"/>
      <protection locked="0"/>
    </xf>
    <xf numFmtId="176" fontId="0" fillId="44" borderId="35" xfId="0" applyNumberFormat="1" applyFill="1" applyBorder="1" applyAlignment="1" applyProtection="1">
      <alignment horizontal="right"/>
      <protection locked="0"/>
    </xf>
    <xf numFmtId="176" fontId="0" fillId="44" borderId="37" xfId="0" applyNumberFormat="1" applyFill="1" applyBorder="1" applyAlignment="1" applyProtection="1">
      <alignment horizontal="right"/>
      <protection locked="0"/>
    </xf>
    <xf numFmtId="176" fontId="0" fillId="44" borderId="79" xfId="0" applyNumberFormat="1" applyFill="1" applyBorder="1" applyAlignment="1" applyProtection="1">
      <alignment horizontal="right"/>
      <protection locked="0"/>
    </xf>
    <xf numFmtId="0" fontId="70" fillId="0" borderId="8" xfId="0" applyNumberFormat="1" applyFont="1" applyBorder="1" applyAlignment="1" applyProtection="1">
      <alignment horizontal="left" vertical="top"/>
      <protection locked="0"/>
    </xf>
    <xf numFmtId="0" fontId="70" fillId="0" borderId="15" xfId="0" applyNumberFormat="1" applyFont="1" applyBorder="1" applyAlignment="1" applyProtection="1">
      <alignment horizontal="left" vertical="top"/>
      <protection locked="0"/>
    </xf>
    <xf numFmtId="0" fontId="70" fillId="0" borderId="7" xfId="0" applyNumberFormat="1" applyFont="1" applyBorder="1" applyAlignment="1" applyProtection="1">
      <alignment horizontal="left" vertical="top"/>
      <protection locked="0"/>
    </xf>
    <xf numFmtId="0" fontId="70" fillId="0" borderId="36" xfId="0" applyNumberFormat="1" applyFont="1" applyBorder="1" applyAlignment="1" applyProtection="1">
      <alignment horizontal="left" vertical="top"/>
      <protection locked="0"/>
    </xf>
    <xf numFmtId="0" fontId="70" fillId="0" borderId="0" xfId="0" applyNumberFormat="1" applyFont="1" applyBorder="1" applyAlignment="1" applyProtection="1">
      <alignment horizontal="left" vertical="top"/>
      <protection locked="0"/>
    </xf>
    <xf numFmtId="0" fontId="70" fillId="0" borderId="35" xfId="0" applyNumberFormat="1" applyFont="1" applyBorder="1" applyAlignment="1" applyProtection="1">
      <alignment horizontal="left" vertical="top"/>
      <protection locked="0"/>
    </xf>
    <xf numFmtId="0" fontId="70" fillId="0" borderId="37" xfId="0" applyNumberFormat="1" applyFont="1" applyBorder="1" applyAlignment="1" applyProtection="1">
      <alignment horizontal="left" vertical="top"/>
      <protection locked="0"/>
    </xf>
    <xf numFmtId="0" fontId="70" fillId="0" borderId="14" xfId="0" applyNumberFormat="1" applyFont="1" applyBorder="1" applyAlignment="1" applyProtection="1">
      <alignment horizontal="left" vertical="top"/>
      <protection locked="0"/>
    </xf>
    <xf numFmtId="0" fontId="70" fillId="0" borderId="79" xfId="0" applyNumberFormat="1" applyFont="1" applyBorder="1" applyAlignment="1" applyProtection="1">
      <alignment horizontal="left" vertical="top"/>
      <protection locked="0"/>
    </xf>
    <xf numFmtId="0" fontId="134" fillId="42" borderId="25" xfId="0" applyNumberFormat="1" applyFont="1" applyFill="1" applyBorder="1" applyAlignment="1" applyProtection="1">
      <alignment horizontal="left" vertical="center"/>
    </xf>
    <xf numFmtId="0" fontId="134" fillId="42" borderId="24" xfId="0" applyNumberFormat="1" applyFont="1" applyFill="1" applyBorder="1" applyAlignment="1" applyProtection="1">
      <alignment horizontal="left" vertical="center"/>
    </xf>
    <xf numFmtId="0" fontId="134" fillId="42" borderId="23" xfId="0" applyNumberFormat="1" applyFont="1" applyFill="1" applyBorder="1" applyAlignment="1" applyProtection="1">
      <alignment horizontal="left" vertical="center"/>
    </xf>
    <xf numFmtId="0" fontId="134" fillId="42" borderId="25" xfId="0" applyNumberFormat="1" applyFont="1" applyFill="1" applyBorder="1" applyAlignment="1" applyProtection="1">
      <alignment horizontal="left"/>
    </xf>
    <xf numFmtId="0" fontId="134" fillId="42" borderId="24" xfId="0" applyNumberFormat="1" applyFont="1" applyFill="1" applyBorder="1" applyAlignment="1" applyProtection="1">
      <alignment horizontal="left"/>
    </xf>
    <xf numFmtId="0" fontId="134" fillId="42" borderId="23" xfId="0" applyNumberFormat="1" applyFont="1" applyFill="1" applyBorder="1" applyAlignment="1" applyProtection="1">
      <alignment horizontal="left"/>
    </xf>
    <xf numFmtId="0" fontId="74" fillId="0" borderId="25" xfId="0" applyNumberFormat="1" applyFont="1" applyBorder="1" applyAlignment="1" applyProtection="1">
      <alignment horizontal="center"/>
    </xf>
    <xf numFmtId="0" fontId="74" fillId="0" borderId="24" xfId="0" applyNumberFormat="1" applyFont="1" applyBorder="1" applyAlignment="1" applyProtection="1">
      <alignment horizontal="center"/>
    </xf>
    <xf numFmtId="0" fontId="74" fillId="0" borderId="23" xfId="0" applyNumberFormat="1" applyFont="1" applyBorder="1" applyAlignment="1" applyProtection="1">
      <alignment horizontal="center"/>
    </xf>
    <xf numFmtId="0" fontId="113" fillId="0" borderId="84" xfId="0" applyNumberFormat="1" applyFont="1" applyBorder="1" applyAlignment="1" applyProtection="1">
      <alignment horizontal="center" vertical="center"/>
    </xf>
    <xf numFmtId="0" fontId="113" fillId="0" borderId="44" xfId="0" applyNumberFormat="1" applyFont="1" applyBorder="1" applyAlignment="1" applyProtection="1">
      <alignment horizontal="center" vertical="center"/>
    </xf>
    <xf numFmtId="0" fontId="92" fillId="2" borderId="25" xfId="0" applyNumberFormat="1" applyFont="1" applyFill="1" applyBorder="1" applyAlignment="1" applyProtection="1">
      <alignment horizontal="center" vertical="center"/>
    </xf>
    <xf numFmtId="0" fontId="92" fillId="2" borderId="23" xfId="0" applyNumberFormat="1" applyFont="1" applyFill="1" applyBorder="1" applyAlignment="1" applyProtection="1">
      <alignment horizontal="center" vertical="center"/>
    </xf>
    <xf numFmtId="0" fontId="83" fillId="0" borderId="93" xfId="0" applyNumberFormat="1" applyFont="1" applyBorder="1" applyAlignment="1" applyProtection="1">
      <alignment horizontal="left" vertical="center" wrapText="1"/>
    </xf>
    <xf numFmtId="0" fontId="83" fillId="0" borderId="41" xfId="0" applyNumberFormat="1" applyFont="1" applyBorder="1" applyAlignment="1" applyProtection="1">
      <alignment horizontal="left" vertical="center" wrapText="1"/>
    </xf>
    <xf numFmtId="0" fontId="83" fillId="0" borderId="8" xfId="0" applyNumberFormat="1" applyFont="1" applyBorder="1" applyAlignment="1" applyProtection="1">
      <alignment horizontal="left" vertical="center" wrapText="1"/>
    </xf>
    <xf numFmtId="0" fontId="83" fillId="0" borderId="23" xfId="0" applyNumberFormat="1" applyFont="1" applyBorder="1" applyAlignment="1" applyProtection="1">
      <alignment horizontal="left" vertical="center" wrapText="1"/>
    </xf>
    <xf numFmtId="0" fontId="134" fillId="42" borderId="25" xfId="0" applyNumberFormat="1" applyFont="1" applyFill="1" applyBorder="1" applyAlignment="1" applyProtection="1">
      <alignment horizontal="center" wrapText="1"/>
    </xf>
    <xf numFmtId="0" fontId="134" fillId="42" borderId="23" xfId="0" applyNumberFormat="1" applyFont="1" applyFill="1" applyBorder="1" applyAlignment="1" applyProtection="1">
      <alignment horizontal="center" wrapText="1"/>
    </xf>
    <xf numFmtId="0" fontId="134" fillId="42" borderId="25" xfId="0" applyNumberFormat="1" applyFont="1" applyFill="1" applyBorder="1" applyAlignment="1" applyProtection="1">
      <alignment horizontal="center"/>
    </xf>
    <xf numFmtId="0" fontId="134" fillId="42" borderId="24" xfId="0" applyNumberFormat="1" applyFont="1" applyFill="1" applyBorder="1" applyAlignment="1" applyProtection="1">
      <alignment horizontal="center"/>
    </xf>
    <xf numFmtId="0" fontId="134" fillId="42" borderId="23" xfId="0" applyNumberFormat="1" applyFont="1" applyFill="1" applyBorder="1" applyAlignment="1" applyProtection="1">
      <alignment horizontal="center"/>
    </xf>
    <xf numFmtId="0" fontId="85" fillId="33" borderId="8" xfId="0" applyNumberFormat="1" applyFont="1" applyFill="1" applyBorder="1" applyAlignment="1" applyProtection="1">
      <alignment horizontal="center" vertical="center" wrapText="1"/>
    </xf>
    <xf numFmtId="0" fontId="85" fillId="33" borderId="7" xfId="0" applyNumberFormat="1" applyFont="1" applyFill="1" applyBorder="1" applyAlignment="1" applyProtection="1">
      <alignment horizontal="center" vertical="center" wrapText="1"/>
    </xf>
    <xf numFmtId="0" fontId="85" fillId="33" borderId="36" xfId="0" applyNumberFormat="1" applyFont="1" applyFill="1" applyBorder="1" applyAlignment="1" applyProtection="1">
      <alignment horizontal="center" vertical="center" wrapText="1"/>
    </xf>
    <xf numFmtId="0" fontId="85" fillId="33" borderId="35" xfId="0" applyNumberFormat="1" applyFont="1" applyFill="1" applyBorder="1" applyAlignment="1" applyProtection="1">
      <alignment horizontal="center" vertical="center" wrapText="1"/>
    </xf>
    <xf numFmtId="0" fontId="85" fillId="33" borderId="37" xfId="0" applyNumberFormat="1" applyFont="1" applyFill="1" applyBorder="1" applyAlignment="1" applyProtection="1">
      <alignment horizontal="center" vertical="center" wrapText="1"/>
    </xf>
    <xf numFmtId="0" fontId="85" fillId="33" borderId="79" xfId="0" applyNumberFormat="1" applyFont="1" applyFill="1" applyBorder="1" applyAlignment="1" applyProtection="1">
      <alignment horizontal="center" vertical="center" wrapText="1"/>
    </xf>
    <xf numFmtId="176" fontId="102" fillId="30" borderId="25" xfId="0" applyNumberFormat="1" applyFont="1" applyFill="1" applyBorder="1" applyAlignment="1" applyProtection="1">
      <alignment horizontal="right"/>
      <protection locked="0"/>
    </xf>
    <xf numFmtId="176" fontId="102" fillId="30" borderId="23" xfId="0" applyNumberFormat="1" applyFont="1" applyFill="1" applyBorder="1" applyAlignment="1" applyProtection="1">
      <alignment horizontal="right"/>
      <protection locked="0"/>
    </xf>
    <xf numFmtId="0" fontId="141" fillId="38" borderId="7" xfId="0" applyNumberFormat="1" applyFont="1" applyFill="1" applyBorder="1" applyAlignment="1" applyProtection="1">
      <alignment horizontal="center" vertical="center"/>
    </xf>
    <xf numFmtId="0" fontId="141" fillId="38" borderId="36" xfId="0" applyNumberFormat="1" applyFont="1" applyFill="1" applyBorder="1" applyAlignment="1" applyProtection="1">
      <alignment horizontal="center" vertical="center"/>
    </xf>
    <xf numFmtId="0" fontId="141" fillId="38" borderId="0" xfId="0" applyNumberFormat="1" applyFont="1" applyFill="1" applyBorder="1" applyAlignment="1" applyProtection="1">
      <alignment horizontal="center" vertical="center"/>
    </xf>
    <xf numFmtId="0" fontId="141" fillId="38" borderId="79" xfId="0" applyNumberFormat="1" applyFont="1" applyFill="1" applyBorder="1" applyAlignment="1" applyProtection="1">
      <alignment horizontal="center" vertical="center"/>
    </xf>
    <xf numFmtId="0" fontId="70" fillId="0" borderId="8" xfId="0" applyNumberFormat="1" applyFont="1" applyFill="1" applyBorder="1" applyAlignment="1" applyProtection="1">
      <alignment horizontal="center" vertical="center"/>
    </xf>
    <xf numFmtId="0" fontId="70" fillId="0" borderId="15" xfId="0" applyNumberFormat="1" applyFont="1" applyFill="1" applyBorder="1" applyAlignment="1" applyProtection="1">
      <alignment horizontal="center" vertical="center"/>
    </xf>
    <xf numFmtId="0" fontId="70" fillId="0" borderId="7" xfId="0" applyNumberFormat="1" applyFont="1" applyFill="1" applyBorder="1" applyAlignment="1" applyProtection="1">
      <alignment horizontal="center" vertical="center"/>
    </xf>
    <xf numFmtId="0" fontId="70" fillId="0" borderId="37" xfId="0" applyNumberFormat="1" applyFont="1" applyFill="1" applyBorder="1" applyAlignment="1" applyProtection="1">
      <alignment horizontal="center" vertical="center"/>
    </xf>
    <xf numFmtId="0" fontId="70" fillId="0" borderId="14" xfId="0" applyNumberFormat="1" applyFont="1" applyFill="1" applyBorder="1" applyAlignment="1" applyProtection="1">
      <alignment horizontal="center" vertical="center"/>
    </xf>
    <xf numFmtId="0" fontId="70" fillId="0" borderId="79" xfId="0" applyNumberFormat="1" applyFont="1" applyFill="1" applyBorder="1" applyAlignment="1" applyProtection="1">
      <alignment horizontal="center" vertical="center"/>
    </xf>
    <xf numFmtId="0" fontId="141" fillId="37" borderId="25" xfId="0" applyNumberFormat="1" applyFont="1" applyFill="1" applyBorder="1" applyAlignment="1" applyProtection="1">
      <alignment horizontal="left" vertical="center"/>
    </xf>
    <xf numFmtId="0" fontId="141" fillId="37" borderId="24" xfId="0" applyNumberFormat="1" applyFont="1" applyFill="1" applyBorder="1" applyAlignment="1" applyProtection="1">
      <alignment horizontal="left" vertical="center"/>
    </xf>
    <xf numFmtId="0" fontId="141" fillId="37" borderId="23" xfId="0" applyNumberFormat="1" applyFont="1" applyFill="1" applyBorder="1" applyAlignment="1" applyProtection="1">
      <alignment horizontal="left" vertical="center"/>
    </xf>
    <xf numFmtId="0" fontId="70" fillId="41" borderId="84" xfId="0" applyNumberFormat="1" applyFont="1" applyFill="1" applyBorder="1" applyAlignment="1" applyProtection="1">
      <alignment horizontal="center" vertical="center" textRotation="90"/>
    </xf>
    <xf numFmtId="0" fontId="70" fillId="41" borderId="78" xfId="0" applyNumberFormat="1" applyFont="1" applyFill="1" applyBorder="1" applyAlignment="1" applyProtection="1">
      <alignment horizontal="center" vertical="center" textRotation="90"/>
    </xf>
    <xf numFmtId="0" fontId="70" fillId="41" borderId="44" xfId="0" applyNumberFormat="1" applyFont="1" applyFill="1" applyBorder="1" applyAlignment="1" applyProtection="1">
      <alignment horizontal="center" vertical="center" textRotation="90"/>
    </xf>
    <xf numFmtId="0" fontId="70" fillId="30" borderId="15" xfId="0" applyNumberFormat="1" applyFont="1" applyFill="1" applyBorder="1" applyAlignment="1" applyProtection="1">
      <alignment horizontal="center" vertical="center"/>
    </xf>
    <xf numFmtId="0" fontId="70" fillId="30" borderId="14" xfId="0" applyNumberFormat="1" applyFont="1" applyFill="1" applyBorder="1" applyAlignment="1" applyProtection="1">
      <alignment horizontal="center" vertical="center"/>
    </xf>
    <xf numFmtId="0" fontId="86" fillId="0" borderId="0" xfId="0" applyNumberFormat="1" applyFont="1" applyBorder="1" applyAlignment="1" applyProtection="1">
      <alignment horizontal="left" vertical="center" wrapText="1"/>
    </xf>
    <xf numFmtId="0" fontId="90" fillId="41" borderId="84" xfId="0" applyNumberFormat="1" applyFont="1" applyFill="1" applyBorder="1" applyAlignment="1" applyProtection="1">
      <alignment horizontal="center" vertical="center" wrapText="1"/>
    </xf>
    <xf numFmtId="0" fontId="90" fillId="41" borderId="78" xfId="0" applyNumberFormat="1" applyFont="1" applyFill="1" applyBorder="1" applyAlignment="1" applyProtection="1">
      <alignment horizontal="center" vertical="center" wrapText="1"/>
    </xf>
    <xf numFmtId="0" fontId="90" fillId="41" borderId="44" xfId="0" applyNumberFormat="1" applyFont="1" applyFill="1" applyBorder="1" applyAlignment="1" applyProtection="1">
      <alignment horizontal="center" vertical="center" wrapText="1"/>
    </xf>
    <xf numFmtId="0" fontId="134" fillId="42" borderId="14" xfId="0" applyNumberFormat="1" applyFont="1" applyFill="1" applyBorder="1" applyAlignment="1" applyProtection="1">
      <alignment horizontal="left" vertical="center"/>
    </xf>
    <xf numFmtId="0" fontId="83" fillId="0" borderId="15" xfId="0" applyNumberFormat="1" applyFont="1" applyBorder="1" applyAlignment="1" applyProtection="1">
      <alignment horizontal="left" vertical="center" wrapText="1"/>
    </xf>
    <xf numFmtId="0" fontId="83" fillId="0" borderId="7" xfId="0" applyNumberFormat="1" applyFont="1" applyBorder="1" applyAlignment="1" applyProtection="1">
      <alignment horizontal="left" vertical="center" wrapText="1"/>
    </xf>
    <xf numFmtId="0" fontId="134" fillId="42" borderId="15" xfId="0" applyNumberFormat="1" applyFont="1" applyFill="1" applyBorder="1" applyAlignment="1" applyProtection="1">
      <alignment horizontal="center" vertical="center"/>
    </xf>
    <xf numFmtId="0" fontId="134" fillId="42" borderId="7" xfId="0" applyNumberFormat="1" applyFont="1" applyFill="1" applyBorder="1" applyAlignment="1" applyProtection="1">
      <alignment horizontal="center" vertical="center"/>
    </xf>
    <xf numFmtId="0" fontId="134" fillId="42" borderId="14" xfId="0" applyNumberFormat="1" applyFont="1" applyFill="1" applyBorder="1" applyAlignment="1" applyProtection="1">
      <alignment horizontal="center" vertical="center"/>
    </xf>
    <xf numFmtId="0" fontId="134" fillId="42" borderId="79" xfId="0" applyNumberFormat="1" applyFont="1" applyFill="1" applyBorder="1" applyAlignment="1" applyProtection="1">
      <alignment horizontal="center" vertical="center"/>
    </xf>
    <xf numFmtId="0" fontId="70" fillId="0" borderId="92" xfId="0" applyNumberFormat="1" applyFont="1" applyBorder="1" applyAlignment="1" applyProtection="1">
      <alignment horizontal="left" vertical="top"/>
      <protection locked="0"/>
    </xf>
    <xf numFmtId="0" fontId="70" fillId="0" borderId="82" xfId="0" applyNumberFormat="1" applyFont="1" applyBorder="1" applyAlignment="1" applyProtection="1">
      <alignment horizontal="left" vertical="top"/>
      <protection locked="0"/>
    </xf>
    <xf numFmtId="0" fontId="70" fillId="0" borderId="91" xfId="0" applyNumberFormat="1" applyFont="1" applyBorder="1" applyAlignment="1" applyProtection="1">
      <alignment horizontal="left" vertical="top"/>
      <protection locked="0"/>
    </xf>
    <xf numFmtId="0" fontId="70" fillId="0" borderId="24" xfId="0" applyNumberFormat="1" applyFont="1" applyBorder="1" applyAlignment="1" applyProtection="1">
      <alignment horizontal="left"/>
    </xf>
    <xf numFmtId="0" fontId="134" fillId="42" borderId="8" xfId="0" applyNumberFormat="1" applyFont="1" applyFill="1" applyBorder="1" applyAlignment="1" applyProtection="1">
      <alignment horizontal="center" vertical="center"/>
    </xf>
    <xf numFmtId="0" fontId="134" fillId="42" borderId="36" xfId="0" applyNumberFormat="1" applyFont="1" applyFill="1" applyBorder="1" applyAlignment="1" applyProtection="1">
      <alignment horizontal="center" vertical="center"/>
    </xf>
    <xf numFmtId="0" fontId="134" fillId="42" borderId="0" xfId="0" applyNumberFormat="1" applyFont="1" applyFill="1" applyBorder="1" applyAlignment="1" applyProtection="1">
      <alignment horizontal="center" vertical="center"/>
    </xf>
    <xf numFmtId="0" fontId="70" fillId="30" borderId="8" xfId="0" applyNumberFormat="1" applyFont="1" applyFill="1" applyBorder="1" applyAlignment="1" applyProtection="1">
      <alignment horizontal="center" vertical="center"/>
    </xf>
    <xf numFmtId="0" fontId="70" fillId="30" borderId="37" xfId="0" applyNumberFormat="1" applyFont="1" applyFill="1" applyBorder="1" applyAlignment="1" applyProtection="1">
      <alignment horizontal="center" vertical="center"/>
    </xf>
    <xf numFmtId="0" fontId="134" fillId="42" borderId="37" xfId="0" applyNumberFormat="1" applyFont="1" applyFill="1" applyBorder="1" applyAlignment="1" applyProtection="1">
      <alignment horizontal="center" vertical="center"/>
    </xf>
    <xf numFmtId="0" fontId="70" fillId="0" borderId="88" xfId="0" applyNumberFormat="1" applyFont="1" applyBorder="1" applyAlignment="1" applyProtection="1">
      <alignment horizontal="left" vertical="top"/>
      <protection locked="0"/>
    </xf>
    <xf numFmtId="0" fontId="70" fillId="0" borderId="83" xfId="0" applyNumberFormat="1" applyFont="1" applyBorder="1" applyAlignment="1" applyProtection="1">
      <alignment horizontal="left" vertical="top"/>
      <protection locked="0"/>
    </xf>
    <xf numFmtId="0" fontId="70" fillId="0" borderId="43" xfId="0" applyNumberFormat="1" applyFont="1" applyBorder="1" applyAlignment="1" applyProtection="1">
      <alignment horizontal="left" vertical="top"/>
      <protection locked="0"/>
    </xf>
    <xf numFmtId="0" fontId="141" fillId="35" borderId="25" xfId="0" applyNumberFormat="1" applyFont="1" applyFill="1" applyBorder="1" applyAlignment="1" applyProtection="1">
      <alignment horizontal="center"/>
    </xf>
    <xf numFmtId="0" fontId="141" fillId="35" borderId="23" xfId="0" applyNumberFormat="1" applyFont="1" applyFill="1" applyBorder="1" applyAlignment="1" applyProtection="1">
      <alignment horizontal="center"/>
    </xf>
    <xf numFmtId="0" fontId="141" fillId="35" borderId="8" xfId="0" applyNumberFormat="1" applyFont="1" applyFill="1" applyBorder="1" applyAlignment="1" applyProtection="1">
      <alignment horizontal="center" vertical="center"/>
    </xf>
    <xf numFmtId="0" fontId="141" fillId="35" borderId="15" xfId="0" applyNumberFormat="1" applyFont="1" applyFill="1" applyBorder="1" applyAlignment="1" applyProtection="1">
      <alignment horizontal="center" vertical="center"/>
    </xf>
    <xf numFmtId="0" fontId="141" fillId="35" borderId="37" xfId="0" applyNumberFormat="1" applyFont="1" applyFill="1" applyBorder="1" applyAlignment="1" applyProtection="1">
      <alignment horizontal="center" vertical="center"/>
    </xf>
    <xf numFmtId="0" fontId="141" fillId="35" borderId="14" xfId="0" applyNumberFormat="1" applyFont="1" applyFill="1" applyBorder="1" applyAlignment="1" applyProtection="1">
      <alignment horizontal="center" vertical="center"/>
    </xf>
    <xf numFmtId="0" fontId="141" fillId="35" borderId="7" xfId="0" applyNumberFormat="1" applyFont="1" applyFill="1" applyBorder="1" applyAlignment="1" applyProtection="1">
      <alignment horizontal="center" vertical="center"/>
    </xf>
    <xf numFmtId="0" fontId="141" fillId="35" borderId="79" xfId="0" applyNumberFormat="1" applyFont="1" applyFill="1" applyBorder="1" applyAlignment="1" applyProtection="1">
      <alignment horizontal="center" vertical="center"/>
    </xf>
    <xf numFmtId="0" fontId="0" fillId="0" borderId="37" xfId="0" applyNumberFormat="1" applyBorder="1" applyAlignment="1" applyProtection="1">
      <alignment horizontal="center"/>
    </xf>
    <xf numFmtId="0" fontId="0" fillId="0" borderId="79" xfId="0" applyNumberFormat="1" applyBorder="1" applyAlignment="1" applyProtection="1">
      <alignment horizontal="center"/>
    </xf>
    <xf numFmtId="176" fontId="0" fillId="30" borderId="8" xfId="0" applyNumberFormat="1" applyFill="1" applyBorder="1" applyAlignment="1" applyProtection="1">
      <alignment horizontal="right"/>
      <protection locked="0"/>
    </xf>
    <xf numFmtId="176" fontId="0" fillId="30" borderId="7" xfId="0" applyNumberFormat="1" applyFill="1" applyBorder="1" applyAlignment="1" applyProtection="1">
      <alignment horizontal="right"/>
      <protection locked="0"/>
    </xf>
    <xf numFmtId="0" fontId="60" fillId="32" borderId="25" xfId="0" applyNumberFormat="1" applyFont="1" applyFill="1" applyBorder="1" applyAlignment="1" applyProtection="1">
      <alignment horizontal="left"/>
    </xf>
    <xf numFmtId="0" fontId="60" fillId="32" borderId="24" xfId="0" applyNumberFormat="1" applyFont="1" applyFill="1" applyBorder="1" applyAlignment="1" applyProtection="1">
      <alignment horizontal="left"/>
    </xf>
    <xf numFmtId="0" fontId="60" fillId="32" borderId="23" xfId="0" applyNumberFormat="1" applyFont="1" applyFill="1" applyBorder="1" applyAlignment="1" applyProtection="1">
      <alignment horizontal="left"/>
    </xf>
    <xf numFmtId="0" fontId="70" fillId="0" borderId="84" xfId="0" applyNumberFormat="1" applyFont="1" applyFill="1" applyBorder="1" applyAlignment="1" applyProtection="1">
      <alignment horizontal="center" vertical="center"/>
    </xf>
    <xf numFmtId="0" fontId="70" fillId="0" borderId="78" xfId="0" applyNumberFormat="1" applyFont="1" applyFill="1" applyBorder="1" applyAlignment="1" applyProtection="1">
      <alignment horizontal="center" vertical="center"/>
    </xf>
    <xf numFmtId="0" fontId="70" fillId="0" borderId="44" xfId="0" applyNumberFormat="1" applyFont="1" applyFill="1" applyBorder="1" applyAlignment="1" applyProtection="1">
      <alignment horizontal="center" vertical="center"/>
    </xf>
    <xf numFmtId="0" fontId="78" fillId="0" borderId="25" xfId="0" applyNumberFormat="1" applyFont="1" applyBorder="1" applyAlignment="1" applyProtection="1">
      <alignment horizontal="center"/>
    </xf>
    <xf numFmtId="0" fontId="78" fillId="0" borderId="23" xfId="0" applyNumberFormat="1" applyFont="1" applyBorder="1" applyAlignment="1" applyProtection="1">
      <alignment horizontal="center"/>
    </xf>
    <xf numFmtId="176" fontId="102" fillId="30" borderId="25" xfId="0" applyNumberFormat="1" applyFont="1" applyFill="1" applyBorder="1" applyAlignment="1" applyProtection="1">
      <alignment horizontal="right"/>
    </xf>
    <xf numFmtId="176" fontId="102" fillId="30" borderId="23" xfId="0" applyNumberFormat="1" applyFont="1" applyFill="1" applyBorder="1" applyAlignment="1" applyProtection="1">
      <alignment horizontal="right"/>
    </xf>
    <xf numFmtId="0" fontId="141" fillId="38" borderId="25" xfId="0" applyNumberFormat="1" applyFont="1" applyFill="1" applyBorder="1" applyAlignment="1" applyProtection="1">
      <alignment horizontal="center"/>
    </xf>
    <xf numFmtId="0" fontId="141" fillId="38" borderId="23" xfId="0" applyNumberFormat="1" applyFont="1" applyFill="1" applyBorder="1" applyAlignment="1" applyProtection="1">
      <alignment horizontal="center"/>
    </xf>
    <xf numFmtId="0" fontId="83" fillId="0" borderId="89" xfId="0" applyNumberFormat="1" applyFont="1" applyBorder="1" applyAlignment="1" applyProtection="1">
      <alignment horizontal="left" vertical="center" wrapText="1"/>
    </xf>
    <xf numFmtId="0" fontId="84" fillId="41" borderId="84" xfId="0" applyNumberFormat="1" applyFont="1" applyFill="1" applyBorder="1" applyAlignment="1" applyProtection="1">
      <alignment horizontal="left" vertical="center"/>
    </xf>
    <xf numFmtId="0" fontId="0" fillId="41" borderId="78" xfId="0" applyFill="1" applyBorder="1" applyAlignment="1" applyProtection="1">
      <alignment horizontal="left" vertical="center"/>
    </xf>
    <xf numFmtId="0" fontId="0" fillId="0" borderId="92" xfId="0" applyBorder="1" applyAlignment="1" applyProtection="1">
      <alignment horizontal="left" vertical="center" wrapText="1"/>
    </xf>
    <xf numFmtId="0" fontId="0" fillId="0" borderId="82" xfId="0" applyBorder="1" applyAlignment="1" applyProtection="1">
      <alignment horizontal="left" vertical="center" wrapText="1"/>
    </xf>
    <xf numFmtId="0" fontId="0" fillId="0" borderId="91" xfId="0" applyBorder="1" applyAlignment="1" applyProtection="1">
      <alignment horizontal="left" vertical="center" wrapText="1"/>
    </xf>
    <xf numFmtId="0" fontId="141" fillId="38" borderId="24" xfId="0" applyNumberFormat="1" applyFont="1" applyFill="1" applyBorder="1" applyAlignment="1" applyProtection="1">
      <alignment horizontal="center"/>
    </xf>
    <xf numFmtId="0" fontId="79" fillId="30" borderId="36" xfId="0" applyNumberFormat="1" applyFont="1" applyFill="1" applyBorder="1" applyAlignment="1" applyProtection="1">
      <alignment horizontal="center" vertical="center" wrapText="1"/>
    </xf>
    <xf numFmtId="0" fontId="79" fillId="30" borderId="0" xfId="0" applyNumberFormat="1" applyFont="1" applyFill="1" applyBorder="1" applyAlignment="1" applyProtection="1">
      <alignment horizontal="center" vertical="center" wrapText="1"/>
    </xf>
    <xf numFmtId="0" fontId="79" fillId="30" borderId="37" xfId="0" applyNumberFormat="1" applyFont="1" applyFill="1" applyBorder="1" applyAlignment="1" applyProtection="1">
      <alignment horizontal="center" vertical="center" wrapText="1"/>
    </xf>
    <xf numFmtId="0" fontId="79" fillId="30" borderId="14" xfId="0" applyNumberFormat="1" applyFont="1" applyFill="1" applyBorder="1" applyAlignment="1" applyProtection="1">
      <alignment horizontal="center" vertical="center" wrapText="1"/>
    </xf>
    <xf numFmtId="9" fontId="101" fillId="30" borderId="35" xfId="0" applyNumberFormat="1" applyFont="1" applyFill="1" applyBorder="1" applyAlignment="1" applyProtection="1">
      <alignment horizontal="center"/>
    </xf>
    <xf numFmtId="0" fontId="102" fillId="22" borderId="0" xfId="0" applyNumberFormat="1" applyFont="1" applyFill="1" applyBorder="1" applyAlignment="1" applyProtection="1">
      <alignment horizontal="left"/>
    </xf>
    <xf numFmtId="0" fontId="102" fillId="22" borderId="0" xfId="0" applyFont="1" applyFill="1" applyBorder="1" applyAlignment="1" applyProtection="1"/>
    <xf numFmtId="0" fontId="102" fillId="22" borderId="35" xfId="0" applyFont="1" applyFill="1" applyBorder="1" applyAlignment="1" applyProtection="1"/>
    <xf numFmtId="0" fontId="0" fillId="44" borderId="0" xfId="0" applyNumberFormat="1" applyFill="1" applyBorder="1" applyAlignment="1" applyProtection="1">
      <alignment horizontal="left"/>
    </xf>
    <xf numFmtId="0" fontId="0" fillId="44" borderId="35" xfId="0" applyNumberFormat="1" applyFill="1" applyBorder="1" applyAlignment="1" applyProtection="1">
      <alignment horizontal="left"/>
    </xf>
    <xf numFmtId="0" fontId="0" fillId="44" borderId="0" xfId="0" applyFill="1" applyBorder="1" applyAlignment="1" applyProtection="1">
      <alignment horizontal="left"/>
    </xf>
    <xf numFmtId="0" fontId="0" fillId="44" borderId="35" xfId="0" applyFill="1" applyBorder="1" applyAlignment="1" applyProtection="1">
      <alignment horizontal="left"/>
    </xf>
    <xf numFmtId="177" fontId="96" fillId="30" borderId="0" xfId="0" applyNumberFormat="1" applyFont="1" applyFill="1" applyBorder="1" applyAlignment="1" applyProtection="1">
      <alignment horizontal="center" vertical="center" wrapText="1"/>
    </xf>
    <xf numFmtId="0" fontId="96" fillId="30" borderId="35" xfId="0" applyNumberFormat="1" applyFont="1" applyFill="1" applyBorder="1" applyAlignment="1" applyProtection="1">
      <alignment horizontal="center" vertical="center" wrapText="1"/>
    </xf>
    <xf numFmtId="9" fontId="101" fillId="30" borderId="7" xfId="0" applyNumberFormat="1" applyFont="1" applyFill="1" applyBorder="1" applyAlignment="1" applyProtection="1">
      <alignment horizontal="center"/>
    </xf>
    <xf numFmtId="0" fontId="141" fillId="35" borderId="24" xfId="0" applyNumberFormat="1" applyFont="1" applyFill="1" applyBorder="1" applyAlignment="1" applyProtection="1">
      <alignment horizontal="center"/>
    </xf>
    <xf numFmtId="0" fontId="70" fillId="0" borderId="8" xfId="0" applyNumberFormat="1" applyFont="1" applyBorder="1" applyAlignment="1" applyProtection="1">
      <alignment horizontal="center"/>
    </xf>
    <xf numFmtId="0" fontId="70" fillId="0" borderId="7" xfId="0" applyNumberFormat="1" applyFont="1" applyBorder="1" applyAlignment="1" applyProtection="1">
      <alignment horizontal="center"/>
    </xf>
    <xf numFmtId="0" fontId="85" fillId="33" borderId="84" xfId="0" applyNumberFormat="1" applyFont="1" applyFill="1" applyBorder="1" applyAlignment="1" applyProtection="1">
      <alignment horizontal="center" vertical="center" wrapText="1"/>
    </xf>
    <xf numFmtId="0" fontId="85" fillId="33" borderId="78" xfId="0" applyNumberFormat="1" applyFont="1" applyFill="1" applyBorder="1" applyAlignment="1" applyProtection="1">
      <alignment horizontal="center" vertical="center" wrapText="1"/>
    </xf>
    <xf numFmtId="0" fontId="85" fillId="33" borderId="44" xfId="0" applyNumberFormat="1" applyFont="1" applyFill="1" applyBorder="1" applyAlignment="1" applyProtection="1">
      <alignment horizontal="center" vertical="center" wrapText="1"/>
    </xf>
    <xf numFmtId="0" fontId="70" fillId="33" borderId="84" xfId="0" applyNumberFormat="1" applyFont="1" applyFill="1" applyBorder="1" applyAlignment="1" applyProtection="1">
      <alignment horizontal="center" vertical="center"/>
    </xf>
    <xf numFmtId="0" fontId="70" fillId="33" borderId="78" xfId="0" applyNumberFormat="1" applyFont="1" applyFill="1" applyBorder="1" applyAlignment="1" applyProtection="1">
      <alignment horizontal="center" vertical="center"/>
    </xf>
    <xf numFmtId="0" fontId="70" fillId="33" borderId="44" xfId="0" applyNumberFormat="1" applyFont="1" applyFill="1" applyBorder="1" applyAlignment="1" applyProtection="1">
      <alignment horizontal="center" vertical="center"/>
    </xf>
    <xf numFmtId="0" fontId="60" fillId="37" borderId="25" xfId="0" applyNumberFormat="1" applyFont="1" applyFill="1" applyBorder="1" applyAlignment="1" applyProtection="1">
      <alignment horizontal="left"/>
    </xf>
    <xf numFmtId="0" fontId="60" fillId="37" borderId="24" xfId="0" applyNumberFormat="1" applyFont="1" applyFill="1" applyBorder="1" applyAlignment="1" applyProtection="1">
      <alignment horizontal="left"/>
    </xf>
    <xf numFmtId="0" fontId="60" fillId="37" borderId="23" xfId="0" applyNumberFormat="1" applyFont="1" applyFill="1" applyBorder="1" applyAlignment="1" applyProtection="1">
      <alignment horizontal="left"/>
    </xf>
    <xf numFmtId="169" fontId="116" fillId="0" borderId="103" xfId="0" applyNumberFormat="1" applyFont="1" applyFill="1" applyBorder="1" applyAlignment="1">
      <alignment horizontal="center" vertical="center"/>
    </xf>
    <xf numFmtId="0" fontId="117" fillId="0" borderId="102" xfId="0" applyFont="1" applyBorder="1" applyAlignment="1"/>
    <xf numFmtId="0" fontId="117" fillId="0" borderId="101" xfId="0" applyFont="1" applyBorder="1" applyAlignment="1"/>
    <xf numFmtId="169" fontId="116" fillId="0" borderId="102" xfId="0" applyNumberFormat="1" applyFont="1" applyFill="1" applyBorder="1" applyAlignment="1">
      <alignment horizontal="center" vertical="center"/>
    </xf>
    <xf numFmtId="169" fontId="116" fillId="0" borderId="101" xfId="0" applyNumberFormat="1" applyFont="1" applyFill="1" applyBorder="1" applyAlignment="1">
      <alignment horizontal="center" vertical="center"/>
    </xf>
    <xf numFmtId="0" fontId="29" fillId="9" borderId="81" xfId="3" applyFont="1" applyFill="1" applyBorder="1" applyAlignment="1">
      <alignment horizontal="center"/>
    </xf>
    <xf numFmtId="0" fontId="29" fillId="9" borderId="75" xfId="3" applyFont="1" applyFill="1" applyBorder="1" applyAlignment="1">
      <alignment horizontal="center"/>
    </xf>
    <xf numFmtId="0" fontId="29" fillId="9" borderId="47" xfId="3" applyFont="1" applyFill="1" applyBorder="1" applyAlignment="1">
      <alignment horizontal="center"/>
    </xf>
    <xf numFmtId="0" fontId="33" fillId="8" borderId="84" xfId="3" applyFont="1" applyFill="1" applyBorder="1" applyAlignment="1">
      <alignment horizontal="center" wrapText="1"/>
    </xf>
    <xf numFmtId="0" fontId="33" fillId="8" borderId="78" xfId="3" applyFont="1" applyFill="1" applyBorder="1" applyAlignment="1">
      <alignment horizontal="center" wrapText="1"/>
    </xf>
    <xf numFmtId="0" fontId="49" fillId="28" borderId="8" xfId="3" applyFont="1" applyFill="1" applyBorder="1" applyAlignment="1">
      <alignment horizontal="center"/>
    </xf>
    <xf numFmtId="0" fontId="49" fillId="28" borderId="15" xfId="3" applyFont="1" applyFill="1" applyBorder="1" applyAlignment="1">
      <alignment horizontal="center"/>
    </xf>
    <xf numFmtId="0" fontId="49" fillId="28" borderId="7" xfId="3" applyFont="1" applyFill="1" applyBorder="1" applyAlignment="1">
      <alignment horizontal="center"/>
    </xf>
    <xf numFmtId="0" fontId="48" fillId="18" borderId="0" xfId="3" applyFont="1" applyFill="1" applyAlignment="1">
      <alignment horizontal="center"/>
    </xf>
    <xf numFmtId="0" fontId="32" fillId="0" borderId="0" xfId="3" applyAlignment="1"/>
    <xf numFmtId="0" fontId="33" fillId="19" borderId="25" xfId="3" applyFont="1" applyFill="1" applyBorder="1" applyAlignment="1">
      <alignment horizontal="center" wrapText="1"/>
    </xf>
    <xf numFmtId="0" fontId="33" fillId="19" borderId="24" xfId="3" applyFont="1" applyFill="1" applyBorder="1" applyAlignment="1">
      <alignment horizontal="center" wrapText="1"/>
    </xf>
    <xf numFmtId="0" fontId="33" fillId="19" borderId="23" xfId="3" applyFont="1" applyFill="1" applyBorder="1" applyAlignment="1">
      <alignment horizontal="center" wrapText="1"/>
    </xf>
    <xf numFmtId="0" fontId="50" fillId="19" borderId="25" xfId="3" applyFont="1" applyFill="1" applyBorder="1" applyAlignment="1">
      <alignment horizontal="center"/>
    </xf>
    <xf numFmtId="0" fontId="50" fillId="19" borderId="24" xfId="3" applyFont="1" applyFill="1" applyBorder="1" applyAlignment="1">
      <alignment horizontal="center"/>
    </xf>
    <xf numFmtId="0" fontId="50" fillId="19" borderId="23" xfId="3" applyFont="1" applyFill="1" applyBorder="1" applyAlignment="1">
      <alignment horizontal="center"/>
    </xf>
    <xf numFmtId="0" fontId="130" fillId="42" borderId="25" xfId="0" applyNumberFormat="1" applyFont="1" applyFill="1" applyBorder="1" applyAlignment="1" applyProtection="1">
      <alignment horizontal="center"/>
    </xf>
    <xf numFmtId="0" fontId="130" fillId="42" borderId="24" xfId="0" applyNumberFormat="1" applyFont="1" applyFill="1" applyBorder="1" applyAlignment="1" applyProtection="1">
      <alignment horizontal="center"/>
    </xf>
    <xf numFmtId="0" fontId="130" fillId="42" borderId="23" xfId="0" applyNumberFormat="1" applyFont="1" applyFill="1" applyBorder="1" applyAlignment="1" applyProtection="1">
      <alignment horizontal="center"/>
    </xf>
    <xf numFmtId="0" fontId="32" fillId="28" borderId="0" xfId="3" applyFont="1" applyFill="1" applyBorder="1" applyAlignment="1">
      <alignment horizontal="right" wrapText="1"/>
    </xf>
    <xf numFmtId="0" fontId="32" fillId="28" borderId="104" xfId="3" applyFont="1" applyFill="1" applyBorder="1" applyAlignment="1">
      <alignment horizontal="right" wrapText="1"/>
    </xf>
    <xf numFmtId="0" fontId="142" fillId="42" borderId="25" xfId="3" applyFont="1" applyFill="1" applyBorder="1" applyAlignment="1">
      <alignment horizontal="center"/>
    </xf>
    <xf numFmtId="0" fontId="142" fillId="42" borderId="24" xfId="3" applyFont="1" applyFill="1" applyBorder="1" applyAlignment="1">
      <alignment horizontal="center"/>
    </xf>
    <xf numFmtId="0" fontId="142" fillId="42" borderId="23" xfId="3" applyFont="1" applyFill="1" applyBorder="1" applyAlignment="1">
      <alignment horizontal="center"/>
    </xf>
    <xf numFmtId="0" fontId="33" fillId="19" borderId="37" xfId="3" applyFont="1" applyFill="1" applyBorder="1" applyAlignment="1">
      <alignment horizontal="center" wrapText="1"/>
    </xf>
    <xf numFmtId="0" fontId="33" fillId="19" borderId="14" xfId="3" applyFont="1" applyFill="1" applyBorder="1" applyAlignment="1">
      <alignment horizontal="center"/>
    </xf>
    <xf numFmtId="0" fontId="33" fillId="19" borderId="79" xfId="3" applyFont="1" applyFill="1" applyBorder="1" applyAlignment="1">
      <alignment horizontal="center"/>
    </xf>
    <xf numFmtId="0" fontId="33" fillId="10" borderId="25" xfId="3" applyFont="1" applyFill="1" applyBorder="1" applyAlignment="1"/>
    <xf numFmtId="0" fontId="32" fillId="0" borderId="24" xfId="3" applyBorder="1" applyAlignment="1"/>
    <xf numFmtId="0" fontId="32" fillId="0" borderId="23" xfId="3" applyBorder="1" applyAlignment="1"/>
    <xf numFmtId="9" fontId="45" fillId="17" borderId="0" xfId="7" applyFont="1" applyFill="1" applyBorder="1" applyAlignment="1">
      <alignment horizontal="center"/>
    </xf>
    <xf numFmtId="0" fontId="32" fillId="17" borderId="0" xfId="3" applyFill="1" applyAlignment="1">
      <alignment horizontal="center"/>
    </xf>
    <xf numFmtId="9" fontId="45" fillId="16" borderId="0" xfId="7" applyFont="1" applyFill="1" applyBorder="1" applyAlignment="1">
      <alignment horizontal="center"/>
    </xf>
    <xf numFmtId="0" fontId="32" fillId="16" borderId="0" xfId="3" applyFill="1" applyAlignment="1">
      <alignment horizontal="center"/>
    </xf>
    <xf numFmtId="0" fontId="126" fillId="28" borderId="0" xfId="3" applyFont="1" applyFill="1" applyAlignment="1">
      <alignment horizontal="center"/>
    </xf>
    <xf numFmtId="0" fontId="126" fillId="28" borderId="0" xfId="3" applyFont="1" applyFill="1" applyBorder="1" applyAlignment="1">
      <alignment horizontal="center"/>
    </xf>
    <xf numFmtId="0" fontId="33" fillId="28" borderId="0" xfId="3" applyFont="1" applyFill="1" applyBorder="1" applyAlignment="1">
      <alignment horizontal="center" vertical="center"/>
    </xf>
    <xf numFmtId="0" fontId="33" fillId="28" borderId="104" xfId="3" applyFont="1" applyFill="1" applyBorder="1" applyAlignment="1">
      <alignment horizontal="center" vertical="center"/>
    </xf>
    <xf numFmtId="0" fontId="142" fillId="42" borderId="0" xfId="3" applyFont="1" applyFill="1" applyAlignment="1">
      <alignment horizontal="left"/>
    </xf>
    <xf numFmtId="0" fontId="1" fillId="0" borderId="4" xfId="1" applyBorder="1" applyAlignment="1">
      <alignment horizontal="left" vertical="center"/>
    </xf>
    <xf numFmtId="0" fontId="1" fillId="0" borderId="10" xfId="1" applyBorder="1" applyAlignment="1">
      <alignment horizontal="left" vertical="center"/>
    </xf>
    <xf numFmtId="0" fontId="3" fillId="2" borderId="25" xfId="1" applyFont="1" applyFill="1" applyBorder="1" applyAlignment="1">
      <alignment horizontal="center" vertical="center" wrapText="1"/>
    </xf>
    <xf numFmtId="0" fontId="3" fillId="2" borderId="24" xfId="1" applyFont="1" applyFill="1" applyBorder="1" applyAlignment="1">
      <alignment horizontal="center" vertical="center" wrapText="1"/>
    </xf>
    <xf numFmtId="0" fontId="3" fillId="2" borderId="23" xfId="1" applyFont="1" applyFill="1" applyBorder="1" applyAlignment="1">
      <alignment horizontal="center" vertical="center" wrapText="1"/>
    </xf>
    <xf numFmtId="0" fontId="139" fillId="42" borderId="8" xfId="1" applyFont="1" applyFill="1" applyBorder="1" applyAlignment="1">
      <alignment horizontal="center" vertical="center"/>
    </xf>
    <xf numFmtId="0" fontId="139" fillId="42" borderId="15" xfId="1" applyFont="1" applyFill="1" applyBorder="1" applyAlignment="1">
      <alignment horizontal="center" vertical="center"/>
    </xf>
    <xf numFmtId="0" fontId="139" fillId="42" borderId="7" xfId="1" applyFont="1" applyFill="1" applyBorder="1" applyAlignment="1">
      <alignment horizontal="center" vertical="center"/>
    </xf>
    <xf numFmtId="0" fontId="140" fillId="42" borderId="24" xfId="1" applyFont="1" applyFill="1" applyBorder="1" applyAlignment="1">
      <alignment horizontal="left" vertical="center"/>
    </xf>
    <xf numFmtId="0" fontId="140" fillId="42" borderId="33" xfId="1" applyFont="1" applyFill="1" applyBorder="1" applyAlignment="1">
      <alignment horizontal="left" vertical="center"/>
    </xf>
    <xf numFmtId="0" fontId="1" fillId="0" borderId="42" xfId="1" applyFont="1" applyBorder="1" applyAlignment="1">
      <alignment horizontal="left" vertical="center"/>
    </xf>
    <xf numFmtId="0" fontId="1" fillId="0" borderId="18" xfId="1" applyFont="1" applyBorder="1" applyAlignment="1">
      <alignment horizontal="left" vertical="center"/>
    </xf>
    <xf numFmtId="0" fontId="1" fillId="0" borderId="6" xfId="1" applyFont="1" applyBorder="1" applyAlignment="1">
      <alignment horizontal="left" vertical="center"/>
    </xf>
    <xf numFmtId="0" fontId="1" fillId="0" borderId="2" xfId="1" applyFont="1" applyBorder="1" applyAlignment="1">
      <alignment horizontal="left" vertical="center"/>
    </xf>
    <xf numFmtId="0" fontId="1" fillId="0" borderId="8" xfId="1" applyBorder="1" applyAlignment="1">
      <alignment horizontal="center" vertical="center"/>
    </xf>
    <xf numFmtId="0" fontId="1" fillId="0" borderId="36" xfId="1" applyBorder="1" applyAlignment="1">
      <alignment horizontal="center" vertical="center"/>
    </xf>
    <xf numFmtId="0" fontId="1" fillId="0" borderId="37" xfId="1" applyBorder="1" applyAlignment="1">
      <alignment horizontal="center" vertical="center"/>
    </xf>
    <xf numFmtId="0" fontId="58" fillId="42" borderId="36" xfId="1" applyFont="1" applyFill="1" applyBorder="1" applyAlignment="1">
      <alignment horizontal="left" vertical="center"/>
    </xf>
    <xf numFmtId="0" fontId="58" fillId="42" borderId="0" xfId="1" applyFont="1" applyFill="1" applyBorder="1" applyAlignment="1">
      <alignment horizontal="left" vertical="center"/>
    </xf>
    <xf numFmtId="0" fontId="1" fillId="0" borderId="2" xfId="1" applyBorder="1" applyAlignment="1">
      <alignment horizontal="left" vertical="center"/>
    </xf>
    <xf numFmtId="0" fontId="1" fillId="0" borderId="9" xfId="1" applyBorder="1" applyAlignment="1">
      <alignment horizontal="left" vertical="center"/>
    </xf>
    <xf numFmtId="0" fontId="1" fillId="3" borderId="36" xfId="1" applyFont="1" applyFill="1" applyBorder="1" applyAlignment="1" applyProtection="1">
      <alignment horizontal="center" vertical="center" wrapText="1"/>
      <protection hidden="1"/>
    </xf>
    <xf numFmtId="0" fontId="1" fillId="3" borderId="0" xfId="1" applyFont="1" applyFill="1" applyBorder="1" applyAlignment="1" applyProtection="1">
      <alignment horizontal="center" vertical="center" wrapText="1"/>
      <protection hidden="1"/>
    </xf>
    <xf numFmtId="0" fontId="1" fillId="0" borderId="15" xfId="1" applyFont="1" applyBorder="1" applyAlignment="1">
      <alignment horizontal="center" vertical="center" wrapText="1"/>
    </xf>
    <xf numFmtId="0" fontId="1" fillId="0" borderId="0" xfId="1" applyFont="1" applyBorder="1" applyAlignment="1">
      <alignment horizontal="center" vertical="center" wrapText="1"/>
    </xf>
    <xf numFmtId="0" fontId="1" fillId="0" borderId="14" xfId="1" applyFont="1" applyBorder="1" applyAlignment="1">
      <alignment horizontal="center" vertical="center" wrapText="1"/>
    </xf>
    <xf numFmtId="0" fontId="1" fillId="0" borderId="40" xfId="1" applyFont="1" applyBorder="1" applyAlignment="1">
      <alignment horizontal="left" vertical="center"/>
    </xf>
    <xf numFmtId="0" fontId="8" fillId="43" borderId="25" xfId="1" applyFont="1" applyFill="1" applyBorder="1" applyAlignment="1">
      <alignment horizontal="left" vertical="center"/>
    </xf>
    <xf numFmtId="0" fontId="8" fillId="43" borderId="33" xfId="1" applyFont="1" applyFill="1" applyBorder="1" applyAlignment="1">
      <alignment horizontal="left" vertical="center"/>
    </xf>
    <xf numFmtId="0" fontId="1" fillId="0" borderId="15" xfId="1" applyBorder="1" applyAlignment="1">
      <alignment horizontal="center" vertical="center"/>
    </xf>
    <xf numFmtId="0" fontId="1" fillId="0" borderId="52" xfId="1" applyBorder="1" applyAlignment="1">
      <alignment horizontal="center" vertical="center"/>
    </xf>
    <xf numFmtId="0" fontId="1" fillId="0" borderId="51" xfId="1" applyBorder="1" applyAlignment="1">
      <alignment horizontal="center" vertical="center"/>
    </xf>
    <xf numFmtId="0" fontId="1" fillId="0" borderId="17" xfId="1" applyBorder="1" applyAlignment="1">
      <alignment horizontal="center" vertical="center"/>
    </xf>
    <xf numFmtId="0" fontId="1" fillId="0" borderId="50" xfId="1" applyFont="1" applyBorder="1" applyAlignment="1">
      <alignment horizontal="center" vertical="center"/>
    </xf>
    <xf numFmtId="0" fontId="1" fillId="0" borderId="16" xfId="1" applyBorder="1" applyAlignment="1">
      <alignment horizontal="center" vertical="center"/>
    </xf>
    <xf numFmtId="0" fontId="1" fillId="0" borderId="15" xfId="1" applyFont="1" applyBorder="1" applyAlignment="1">
      <alignment horizontal="center" vertical="center"/>
    </xf>
    <xf numFmtId="0" fontId="1" fillId="0" borderId="0" xfId="1" applyBorder="1" applyAlignment="1">
      <alignment horizontal="center" vertical="center"/>
    </xf>
    <xf numFmtId="0" fontId="1" fillId="0" borderId="14" xfId="1" applyBorder="1" applyAlignment="1">
      <alignment horizontal="center" vertical="center"/>
    </xf>
    <xf numFmtId="0" fontId="1" fillId="0" borderId="42" xfId="1" applyBorder="1" applyAlignment="1">
      <alignment horizontal="left" vertical="center"/>
    </xf>
    <xf numFmtId="0" fontId="1" fillId="0" borderId="40" xfId="1" applyBorder="1" applyAlignment="1">
      <alignment horizontal="left" vertical="center"/>
    </xf>
    <xf numFmtId="0" fontId="1" fillId="0" borderId="18" xfId="1" applyBorder="1" applyAlignment="1">
      <alignment horizontal="left" vertical="center"/>
    </xf>
    <xf numFmtId="0" fontId="1" fillId="0" borderId="42" xfId="1" applyFont="1" applyBorder="1" applyAlignment="1">
      <alignment horizontal="left" vertical="center" wrapText="1"/>
    </xf>
    <xf numFmtId="0" fontId="1" fillId="0" borderId="40" xfId="1" applyFont="1" applyBorder="1" applyAlignment="1">
      <alignment horizontal="left" vertical="center" wrapText="1"/>
    </xf>
    <xf numFmtId="0" fontId="1" fillId="0" borderId="18" xfId="1" applyFont="1" applyBorder="1" applyAlignment="1">
      <alignment horizontal="left" vertical="center" wrapText="1"/>
    </xf>
    <xf numFmtId="0" fontId="4" fillId="3" borderId="0" xfId="1" applyFont="1" applyFill="1" applyBorder="1" applyAlignment="1">
      <alignment horizontal="center" vertical="center"/>
    </xf>
    <xf numFmtId="0" fontId="1" fillId="0" borderId="13" xfId="1" applyFont="1" applyBorder="1" applyAlignment="1">
      <alignment horizontal="left" vertical="center"/>
    </xf>
    <xf numFmtId="0" fontId="1" fillId="0" borderId="8" xfId="1" applyFont="1" applyBorder="1" applyAlignment="1">
      <alignment horizontal="left" vertical="center"/>
    </xf>
    <xf numFmtId="0" fontId="1" fillId="0" borderId="36" xfId="1" applyFont="1" applyBorder="1" applyAlignment="1">
      <alignment horizontal="left" vertical="center"/>
    </xf>
    <xf numFmtId="0" fontId="1" fillId="0" borderId="37" xfId="1" applyFont="1" applyBorder="1" applyAlignment="1">
      <alignment horizontal="left" vertical="center"/>
    </xf>
    <xf numFmtId="0" fontId="1" fillId="0" borderId="2" xfId="1" applyFont="1" applyFill="1" applyBorder="1" applyAlignment="1">
      <alignment horizontal="left" vertical="center" wrapText="1"/>
    </xf>
    <xf numFmtId="0" fontId="1" fillId="0" borderId="9" xfId="1" applyFont="1" applyFill="1" applyBorder="1" applyAlignment="1">
      <alignment horizontal="left" vertical="center" wrapText="1"/>
    </xf>
    <xf numFmtId="0" fontId="1" fillId="0" borderId="4" xfId="1" applyFont="1" applyBorder="1" applyAlignment="1">
      <alignment horizontal="left" vertical="center"/>
    </xf>
    <xf numFmtId="0" fontId="1" fillId="0" borderId="10" xfId="1" applyFont="1" applyBorder="1" applyAlignment="1">
      <alignment horizontal="left" vertical="center"/>
    </xf>
    <xf numFmtId="0" fontId="1" fillId="0" borderId="4" xfId="1" applyFont="1" applyFill="1" applyBorder="1" applyAlignment="1">
      <alignment horizontal="left" vertical="center"/>
    </xf>
    <xf numFmtId="0" fontId="1" fillId="0" borderId="10" xfId="1" applyFont="1" applyFill="1" applyBorder="1" applyAlignment="1">
      <alignment horizontal="left" vertical="center"/>
    </xf>
    <xf numFmtId="0" fontId="1" fillId="0" borderId="4" xfId="1" applyFont="1" applyFill="1" applyBorder="1" applyAlignment="1">
      <alignment horizontal="left" vertical="center" wrapText="1"/>
    </xf>
    <xf numFmtId="0" fontId="1" fillId="0" borderId="10" xfId="1" applyFont="1" applyFill="1" applyBorder="1" applyAlignment="1">
      <alignment horizontal="left" vertical="center" wrapText="1"/>
    </xf>
    <xf numFmtId="49" fontId="1" fillId="0" borderId="4" xfId="1" applyNumberFormat="1" applyFont="1" applyFill="1" applyBorder="1" applyAlignment="1">
      <alignment horizontal="left"/>
    </xf>
    <xf numFmtId="49" fontId="1" fillId="0" borderId="3" xfId="1" applyNumberFormat="1" applyFont="1" applyFill="1" applyBorder="1" applyAlignment="1">
      <alignment horizontal="left"/>
    </xf>
    <xf numFmtId="49" fontId="1" fillId="0" borderId="2" xfId="1" applyNumberFormat="1" applyFont="1" applyFill="1" applyBorder="1" applyAlignment="1">
      <alignment horizontal="left"/>
    </xf>
    <xf numFmtId="49" fontId="1" fillId="0" borderId="1" xfId="1" applyNumberFormat="1" applyFont="1" applyFill="1" applyBorder="1" applyAlignment="1">
      <alignment horizontal="left"/>
    </xf>
    <xf numFmtId="49" fontId="3" fillId="2" borderId="13" xfId="1" applyNumberFormat="1" applyFont="1" applyFill="1" applyBorder="1" applyAlignment="1">
      <alignment horizontal="left"/>
    </xf>
    <xf numFmtId="49" fontId="3" fillId="2" borderId="11" xfId="1" applyNumberFormat="1" applyFont="1" applyFill="1" applyBorder="1" applyAlignment="1">
      <alignment horizontal="left"/>
    </xf>
    <xf numFmtId="0" fontId="3" fillId="2" borderId="13" xfId="1" applyFont="1" applyFill="1" applyBorder="1" applyAlignment="1">
      <alignment horizontal="left" vertical="center" wrapText="1"/>
    </xf>
    <xf numFmtId="0" fontId="3" fillId="2" borderId="12" xfId="1" applyFont="1" applyFill="1" applyBorder="1" applyAlignment="1">
      <alignment horizontal="left" vertical="center" wrapText="1"/>
    </xf>
    <xf numFmtId="0" fontId="2" fillId="0" borderId="4" xfId="1" applyFont="1" applyBorder="1" applyAlignment="1">
      <alignment horizontal="left" vertical="center"/>
    </xf>
    <xf numFmtId="0" fontId="2" fillId="0" borderId="10" xfId="1" applyFont="1" applyBorder="1" applyAlignment="1">
      <alignment horizontal="left" vertical="center"/>
    </xf>
    <xf numFmtId="0" fontId="3" fillId="2" borderId="21"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19" xfId="1" applyFont="1" applyFill="1" applyBorder="1" applyAlignment="1">
      <alignment horizontal="center" vertical="center"/>
    </xf>
  </cellXfs>
  <cellStyles count="13">
    <cellStyle name="Euro" xfId="5"/>
    <cellStyle name="Followed Hyperlink" xfId="10" builtinId="9" hidden="1"/>
    <cellStyle name="Followed Hyperlink" xfId="11" builtinId="9" hidden="1"/>
    <cellStyle name="Followed Hyperlink" xfId="12" builtinId="9" hidden="1"/>
    <cellStyle name="Hyperlink" xfId="4" builtinId="8"/>
    <cellStyle name="Milliers 2" xfId="8"/>
    <cellStyle name="Monétaire 2" xfId="6"/>
    <cellStyle name="Normal" xfId="0" builtinId="0"/>
    <cellStyle name="Normal 2" xfId="1"/>
    <cellStyle name="Normal 3" xfId="2"/>
    <cellStyle name="Normal 4" xfId="3"/>
    <cellStyle name="Percent" xfId="9" builtinId="5"/>
    <cellStyle name="Pourcentage 2" xfId="7"/>
  </cellStyles>
  <dxfs count="333">
    <dxf>
      <font>
        <color theme="0"/>
      </font>
      <fill>
        <patternFill patternType="lightUp">
          <fgColor theme="0" tint="-0.34998626667073579"/>
        </patternFill>
      </fill>
    </dxf>
    <dxf>
      <font>
        <color theme="0"/>
      </font>
      <fill>
        <patternFill patternType="lightUp">
          <fgColor theme="0" tint="-0.34998626667073579"/>
        </patternFill>
      </fill>
    </dxf>
    <dxf>
      <font>
        <color theme="0"/>
      </font>
      <fill>
        <patternFill patternType="lightUp">
          <fgColor theme="0" tint="-0.34998626667073579"/>
        </patternFill>
      </fill>
    </dxf>
    <dxf>
      <font>
        <color theme="0"/>
      </font>
      <fill>
        <patternFill patternType="lightUp">
          <fgColor theme="0" tint="-0.34998626667073579"/>
        </patternFill>
      </fill>
    </dxf>
    <dxf>
      <font>
        <color theme="0"/>
      </font>
      <fill>
        <patternFill patternType="lightUp">
          <fgColor theme="0" tint="-0.34998626667073579"/>
        </patternFill>
      </fill>
    </dxf>
    <dxf>
      <font>
        <color theme="0"/>
      </font>
      <fill>
        <patternFill patternType="lightUp">
          <fgColor theme="0" tint="-0.34998626667073579"/>
        </patternFill>
      </fill>
    </dxf>
    <dxf>
      <font>
        <color theme="0"/>
      </font>
      <fill>
        <patternFill patternType="lightUp">
          <fgColor theme="0" tint="-0.34998626667073579"/>
        </patternFill>
      </fill>
    </dxf>
    <dxf>
      <font>
        <color theme="0"/>
      </font>
      <fill>
        <patternFill patternType="lightUp">
          <fgColor theme="0" tint="-0.34998626667073579"/>
        </patternFill>
      </fill>
    </dxf>
    <dxf>
      <font>
        <color theme="0"/>
      </font>
      <fill>
        <patternFill patternType="lightUp">
          <fgColor theme="0" tint="-0.34998626667073579"/>
        </patternFill>
      </fill>
    </dxf>
    <dxf>
      <font>
        <color theme="0"/>
      </font>
      <fill>
        <patternFill patternType="lightUp">
          <fgColor theme="0" tint="-0.34998626667073579"/>
        </patternFill>
      </fill>
    </dxf>
    <dxf>
      <font>
        <color theme="0"/>
      </font>
      <fill>
        <patternFill patternType="lightUp">
          <fgColor theme="0" tint="-0.34998626667073579"/>
        </patternFill>
      </fill>
    </dxf>
    <dxf>
      <font>
        <color theme="0"/>
      </font>
      <fill>
        <patternFill patternType="lightUp">
          <fgColor theme="0" tint="-0.34998626667073579"/>
        </patternFill>
      </fill>
    </dxf>
    <dxf>
      <font>
        <color theme="0"/>
      </font>
      <fill>
        <patternFill patternType="lightUp">
          <fgColor theme="0" tint="-0.34998626667073579"/>
          <bgColor theme="0"/>
        </patternFill>
      </fill>
    </dxf>
    <dxf>
      <fill>
        <patternFill>
          <bgColor indexed="53"/>
        </patternFill>
      </fill>
    </dxf>
    <dxf>
      <fill>
        <patternFill>
          <bgColor indexed="50"/>
        </patternFill>
      </fill>
    </dxf>
    <dxf>
      <fill>
        <patternFill>
          <bgColor indexed="51"/>
        </patternFill>
      </fill>
    </dxf>
    <dxf>
      <fill>
        <patternFill>
          <bgColor indexed="50"/>
        </patternFill>
      </fill>
    </dxf>
    <dxf>
      <font>
        <condense val="0"/>
        <extend val="0"/>
        <color indexed="9"/>
      </font>
      <fill>
        <patternFill>
          <bgColor indexed="17"/>
        </patternFill>
      </fill>
    </dxf>
    <dxf>
      <fill>
        <patternFill>
          <bgColor indexed="51"/>
        </patternFill>
      </fill>
    </dxf>
    <dxf>
      <fill>
        <patternFill>
          <bgColor indexed="50"/>
        </patternFill>
      </fill>
    </dxf>
    <dxf>
      <font>
        <condense val="0"/>
        <extend val="0"/>
        <color indexed="9"/>
      </font>
      <fill>
        <patternFill>
          <bgColor indexed="17"/>
        </patternFill>
      </fill>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ont>
        <color theme="2" tint="-0.49998474074526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ill>
        <patternFill>
          <bgColor theme="5" tint="0.59996337778862885"/>
        </patternFill>
      </fill>
    </dxf>
    <dxf>
      <font>
        <color theme="2"/>
      </font>
    </dxf>
    <dxf>
      <font>
        <color theme="2"/>
      </font>
    </dxf>
    <dxf>
      <font>
        <condense val="0"/>
        <extend val="0"/>
        <color indexed="9"/>
      </font>
      <fill>
        <patternFill>
          <bgColor indexed="17"/>
        </patternFill>
      </fill>
    </dxf>
    <dxf>
      <fill>
        <patternFill>
          <bgColor indexed="50"/>
        </patternFill>
      </fill>
    </dxf>
    <dxf>
      <font>
        <condense val="0"/>
        <extend val="0"/>
        <color indexed="9"/>
      </font>
      <fill>
        <patternFill>
          <bgColor indexed="17"/>
        </patternFill>
      </fill>
    </dxf>
    <dxf>
      <fill>
        <patternFill>
          <bgColor rgb="FFFF0000"/>
        </patternFill>
      </fill>
    </dxf>
    <dxf>
      <fill>
        <patternFill>
          <bgColor indexed="51"/>
        </patternFill>
      </fill>
    </dxf>
    <dxf>
      <fill>
        <patternFill>
          <bgColor indexed="50"/>
        </patternFill>
      </fill>
    </dxf>
    <dxf>
      <fill>
        <patternFill>
          <bgColor rgb="FFFF0000"/>
        </patternFill>
      </fill>
    </dxf>
    <dxf>
      <fill>
        <patternFill>
          <bgColor indexed="51"/>
        </patternFill>
      </fill>
    </dxf>
    <dxf>
      <font>
        <strike val="0"/>
      </font>
    </dxf>
  </dxfs>
  <tableStyles count="0" defaultTableStyle="TableStyleMedium9" defaultPivotStyle="PivotStyleLight16"/>
  <colors>
    <mruColors>
      <color rgb="FFFAFA9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2.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a:t>Materialen, niveau</a:t>
            </a:r>
            <a:r>
              <a:rPr lang="en-US" baseline="0"/>
              <a:t> bedrijf</a:t>
            </a:r>
            <a:r>
              <a:rPr lang="en-US"/>
              <a:t> </a:t>
            </a:r>
          </a:p>
        </c:rich>
      </c:tx>
      <c:layout>
        <c:manualLayout>
          <c:xMode val="edge"/>
          <c:yMode val="edge"/>
          <c:x val="0.23896382479122896"/>
          <c:y val="0.63091503545047001"/>
        </c:manualLayout>
      </c:layout>
      <c:overlay val="1"/>
    </c:title>
    <c:autoTitleDeleted val="0"/>
    <c:plotArea>
      <c:layout>
        <c:manualLayout>
          <c:layoutTarget val="inner"/>
          <c:xMode val="edge"/>
          <c:yMode val="edge"/>
          <c:x val="0.12412279925683509"/>
          <c:y val="0.126183007090094"/>
          <c:w val="0.76685363767731762"/>
          <c:h val="0.86119869220090262"/>
        </c:manualLayout>
      </c:layout>
      <c:doughnutChart>
        <c:varyColors val="1"/>
        <c:ser>
          <c:idx val="1"/>
          <c:order val="0"/>
          <c:tx>
            <c:v>Variable</c:v>
          </c:tx>
          <c:spPr>
            <a:ln>
              <a:noFill/>
            </a:ln>
          </c:spPr>
          <c:dPt>
            <c:idx val="0"/>
            <c:bubble3D val="0"/>
            <c:spPr>
              <a:noFill/>
              <a:ln>
                <a:noFill/>
              </a:ln>
            </c:spPr>
          </c:dPt>
          <c:dPt>
            <c:idx val="1"/>
            <c:bubble3D val="0"/>
            <c:spPr>
              <a:solidFill>
                <a:schemeClr val="tx1"/>
              </a:solidFill>
              <a:ln>
                <a:solidFill>
                  <a:sysClr val="windowText" lastClr="000000"/>
                </a:solidFill>
              </a:ln>
            </c:spPr>
          </c:dPt>
          <c:dPt>
            <c:idx val="2"/>
            <c:bubble3D val="0"/>
            <c:spPr>
              <a:noFill/>
              <a:ln>
                <a:noFill/>
              </a:ln>
            </c:spPr>
          </c:dPt>
          <c:dPt>
            <c:idx val="5"/>
            <c:bubble3D val="0"/>
            <c:spPr>
              <a:noFill/>
              <a:ln>
                <a:noFill/>
              </a:ln>
            </c:spPr>
          </c:dPt>
          <c:cat>
            <c:numRef>
              <c:f>'3-Synthese'!$F$52:$F$57</c:f>
              <c:numCache>
                <c:formatCode>General</c:formatCode>
                <c:ptCount val="6"/>
                <c:pt idx="0">
                  <c:v>0</c:v>
                </c:pt>
                <c:pt idx="1">
                  <c:v>1</c:v>
                </c:pt>
                <c:pt idx="2">
                  <c:v>2</c:v>
                </c:pt>
                <c:pt idx="3">
                  <c:v>3</c:v>
                </c:pt>
                <c:pt idx="4">
                  <c:v>4</c:v>
                </c:pt>
                <c:pt idx="5">
                  <c:v>5</c:v>
                </c:pt>
              </c:numCache>
            </c:numRef>
          </c:cat>
          <c:val>
            <c:numRef>
              <c:f>'3-Synthese'!$J$52:$J$57</c:f>
              <c:numCache>
                <c:formatCode>0%</c:formatCode>
                <c:ptCount val="6"/>
                <c:pt idx="0">
                  <c:v>0</c:v>
                </c:pt>
                <c:pt idx="1">
                  <c:v>0.01</c:v>
                </c:pt>
                <c:pt idx="2">
                  <c:v>0</c:v>
                </c:pt>
                <c:pt idx="3">
                  <c:v>0</c:v>
                </c:pt>
                <c:pt idx="4">
                  <c:v>0</c:v>
                </c:pt>
                <c:pt idx="5">
                  <c:v>1</c:v>
                </c:pt>
              </c:numCache>
            </c:numRef>
          </c:val>
        </c:ser>
        <c:ser>
          <c:idx val="0"/>
          <c:order val="1"/>
          <c:tx>
            <c:v>Fixe</c:v>
          </c:tx>
          <c:spPr>
            <a:ln>
              <a:solidFill>
                <a:sysClr val="windowText" lastClr="000000">
                  <a:alpha val="50000"/>
                </a:sysClr>
              </a:solidFill>
            </a:ln>
          </c:spPr>
          <c:dPt>
            <c:idx val="1"/>
            <c:bubble3D val="0"/>
            <c:spPr>
              <a:gradFill flip="none" rotWithShape="1">
                <a:gsLst>
                  <a:gs pos="33000">
                    <a:srgbClr val="FFC000"/>
                  </a:gs>
                  <a:gs pos="100000">
                    <a:srgbClr val="FF0000"/>
                  </a:gs>
                </a:gsLst>
                <a:lin ang="7200000" scaled="0"/>
                <a:tileRect/>
              </a:gradFill>
              <a:ln>
                <a:solidFill>
                  <a:sysClr val="windowText" lastClr="000000">
                    <a:alpha val="50000"/>
                  </a:sysClr>
                </a:solidFill>
              </a:ln>
            </c:spPr>
          </c:dPt>
          <c:dPt>
            <c:idx val="2"/>
            <c:bubble3D val="0"/>
            <c:spPr>
              <a:gradFill flip="none" rotWithShape="1">
                <a:gsLst>
                  <a:gs pos="33000">
                    <a:srgbClr val="FFFF00"/>
                  </a:gs>
                  <a:gs pos="66000">
                    <a:srgbClr val="FFC000"/>
                  </a:gs>
                </a:gsLst>
                <a:lin ang="9600000" scaled="0"/>
                <a:tileRect/>
              </a:gradFill>
              <a:ln>
                <a:solidFill>
                  <a:sysClr val="windowText" lastClr="000000">
                    <a:alpha val="50000"/>
                  </a:sysClr>
                </a:solidFill>
              </a:ln>
            </c:spPr>
          </c:dPt>
          <c:dPt>
            <c:idx val="3"/>
            <c:bubble3D val="0"/>
            <c:spPr>
              <a:gradFill>
                <a:gsLst>
                  <a:gs pos="66000">
                    <a:srgbClr val="92D050"/>
                  </a:gs>
                  <a:gs pos="33000">
                    <a:srgbClr val="FFFF00"/>
                  </a:gs>
                </a:gsLst>
                <a:lin ang="1200000" scaled="0"/>
              </a:gradFill>
              <a:ln>
                <a:solidFill>
                  <a:sysClr val="windowText" lastClr="000000">
                    <a:alpha val="50000"/>
                  </a:sysClr>
                </a:solidFill>
              </a:ln>
            </c:spPr>
          </c:dPt>
          <c:dPt>
            <c:idx val="4"/>
            <c:bubble3D val="0"/>
            <c:spPr>
              <a:gradFill>
                <a:gsLst>
                  <a:gs pos="0">
                    <a:srgbClr val="00B050"/>
                  </a:gs>
                  <a:gs pos="66000">
                    <a:srgbClr val="92D050"/>
                  </a:gs>
                </a:gsLst>
                <a:lin ang="14400000" scaled="0"/>
              </a:gradFill>
              <a:ln>
                <a:solidFill>
                  <a:sysClr val="windowText" lastClr="000000">
                    <a:alpha val="50000"/>
                  </a:sysClr>
                </a:solidFill>
              </a:ln>
            </c:spPr>
          </c:dPt>
          <c:dPt>
            <c:idx val="5"/>
            <c:bubble3D val="0"/>
            <c:spPr>
              <a:noFill/>
              <a:ln>
                <a:noFill/>
              </a:ln>
            </c:spPr>
          </c:dPt>
          <c:dLbls>
            <c:dLbl>
              <c:idx val="0"/>
              <c:layout>
                <c:manualLayout>
                  <c:x val="-0.11985018726591802"/>
                  <c:y val="-8.4122004726729527E-3"/>
                </c:manualLayout>
              </c:layout>
              <c:showLegendKey val="0"/>
              <c:showVal val="0"/>
              <c:showCatName val="1"/>
              <c:showSerName val="0"/>
              <c:showPercent val="0"/>
              <c:showBubbleSize val="0"/>
            </c:dLbl>
            <c:dLbl>
              <c:idx val="1"/>
              <c:layout>
                <c:manualLayout>
                  <c:x val="-2.5436609749624115E-2"/>
                  <c:y val="-0.20456451296671194"/>
                </c:manualLayout>
              </c:layout>
              <c:showLegendKey val="0"/>
              <c:showVal val="0"/>
              <c:showCatName val="1"/>
              <c:showSerName val="0"/>
              <c:showPercent val="0"/>
              <c:showBubbleSize val="0"/>
            </c:dLbl>
            <c:dLbl>
              <c:idx val="2"/>
              <c:layout>
                <c:manualLayout>
                  <c:x val="0.11061606063286998"/>
                  <c:y val="-0.162373022139322"/>
                </c:manualLayout>
              </c:layout>
              <c:showLegendKey val="0"/>
              <c:showVal val="0"/>
              <c:showCatName val="1"/>
              <c:showSerName val="0"/>
              <c:showPercent val="0"/>
              <c:showBubbleSize val="0"/>
            </c:dLbl>
            <c:dLbl>
              <c:idx val="3"/>
              <c:layout>
                <c:manualLayout>
                  <c:x val="0.17912412633813993"/>
                  <c:y val="-2.5473732738429927E-2"/>
                </c:manualLayout>
              </c:layout>
              <c:showLegendKey val="0"/>
              <c:showVal val="0"/>
              <c:showCatName val="1"/>
              <c:showSerName val="0"/>
              <c:showPercent val="0"/>
              <c:showBubbleSize val="0"/>
            </c:dLbl>
            <c:dLbl>
              <c:idx val="4"/>
              <c:layout>
                <c:manualLayout>
                  <c:x val="0.14550237400100308"/>
                  <c:y val="0.10634313034539"/>
                </c:manualLayout>
              </c:layout>
              <c:showLegendKey val="0"/>
              <c:showVal val="0"/>
              <c:showCatName val="1"/>
              <c:showSerName val="0"/>
              <c:showPercent val="0"/>
              <c:showBubbleSize val="0"/>
            </c:dLbl>
            <c:dLbl>
              <c:idx val="5"/>
              <c:delete val="1"/>
            </c:dLbl>
            <c:txPr>
              <a:bodyPr/>
              <a:lstStyle/>
              <a:p>
                <a:pPr>
                  <a:defRPr sz="1200" b="1"/>
                </a:pPr>
                <a:endParaRPr lang="nl-BE"/>
              </a:p>
            </c:txPr>
            <c:showLegendKey val="0"/>
            <c:showVal val="0"/>
            <c:showCatName val="1"/>
            <c:showSerName val="0"/>
            <c:showPercent val="0"/>
            <c:showBubbleSize val="0"/>
            <c:showLeaderLines val="1"/>
          </c:dLbls>
          <c:cat>
            <c:numRef>
              <c:f>'3-Synthese'!$F$52:$F$57</c:f>
              <c:numCache>
                <c:formatCode>General</c:formatCode>
                <c:ptCount val="6"/>
                <c:pt idx="0">
                  <c:v>0</c:v>
                </c:pt>
                <c:pt idx="1">
                  <c:v>1</c:v>
                </c:pt>
                <c:pt idx="2">
                  <c:v>2</c:v>
                </c:pt>
                <c:pt idx="3">
                  <c:v>3</c:v>
                </c:pt>
                <c:pt idx="4">
                  <c:v>4</c:v>
                </c:pt>
                <c:pt idx="5">
                  <c:v>5</c:v>
                </c:pt>
              </c:numCache>
            </c:numRef>
          </c:cat>
          <c:val>
            <c:numRef>
              <c:f>'3-Synthese'!$G$52:$G$57</c:f>
              <c:numCache>
                <c:formatCode>General</c:formatCode>
                <c:ptCount val="6"/>
                <c:pt idx="0">
                  <c:v>0</c:v>
                </c:pt>
                <c:pt idx="1">
                  <c:v>25</c:v>
                </c:pt>
                <c:pt idx="2">
                  <c:v>25</c:v>
                </c:pt>
                <c:pt idx="3">
                  <c:v>25</c:v>
                </c:pt>
                <c:pt idx="4">
                  <c:v>25</c:v>
                </c:pt>
                <c:pt idx="5">
                  <c:v>100</c:v>
                </c:pt>
              </c:numCache>
            </c:numRef>
          </c:val>
        </c:ser>
        <c:dLbls>
          <c:showLegendKey val="0"/>
          <c:showVal val="0"/>
          <c:showCatName val="0"/>
          <c:showSerName val="0"/>
          <c:showPercent val="0"/>
          <c:showBubbleSize val="0"/>
          <c:showLeaderLines val="1"/>
        </c:dLbls>
        <c:firstSliceAng val="270"/>
        <c:holeSize val="10"/>
      </c:doughnutChart>
    </c:plotArea>
    <c:plotVisOnly val="1"/>
    <c:dispBlanksAs val="zero"/>
    <c:showDLblsOverMax val="0"/>
  </c:chart>
  <c:spPr>
    <a:ln>
      <a:noFill/>
    </a:ln>
  </c:spPr>
  <c:printSettings>
    <c:headerFooter/>
    <c:pageMargins b="0.75000000000000333" l="0.70000000000000129" r="0.70000000000000129" t="0.75000000000000333" header="0.30000000000000016" footer="0.30000000000000016"/>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nl-B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3200"/>
            </a:pPr>
            <a:r>
              <a:rPr lang="fr-BE"/>
              <a:t>Niveau onderneming</a:t>
            </a:r>
            <a:r>
              <a:rPr lang="fr-BE" baseline="0"/>
              <a:t>: </a:t>
            </a:r>
            <a:endParaRPr lang="fr-BE"/>
          </a:p>
        </c:rich>
      </c:tx>
      <c:layout>
        <c:manualLayout>
          <c:xMode val="edge"/>
          <c:yMode val="edge"/>
          <c:x val="4.9946933276869346E-3"/>
          <c:y val="3.3229488999796308E-3"/>
        </c:manualLayout>
      </c:layout>
      <c:overlay val="0"/>
    </c:title>
    <c:autoTitleDeleted val="0"/>
    <c:plotArea>
      <c:layout>
        <c:manualLayout>
          <c:layoutTarget val="inner"/>
          <c:xMode val="edge"/>
          <c:yMode val="edge"/>
          <c:x val="0.30628044483389527"/>
          <c:y val="0.12831034067251901"/>
          <c:w val="0.38874060994153226"/>
          <c:h val="0.68799362670254105"/>
        </c:manualLayout>
      </c:layout>
      <c:radarChart>
        <c:radarStyle val="marker"/>
        <c:varyColors val="0"/>
        <c:ser>
          <c:idx val="0"/>
          <c:order val="0"/>
          <c:tx>
            <c:strRef>
              <c:f>'4-Materialen gebouwen'!$M$396</c:f>
              <c:strCache>
                <c:ptCount val="1"/>
                <c:pt idx="0">
                  <c:v>TARGET</c:v>
                </c:pt>
              </c:strCache>
            </c:strRef>
          </c:tx>
          <c:spPr>
            <a:ln w="63500">
              <a:solidFill>
                <a:srgbClr val="00B050"/>
              </a:solidFill>
            </a:ln>
          </c:spPr>
          <c:marker>
            <c:symbol val="circle"/>
            <c:size val="10"/>
            <c:spPr>
              <a:solidFill>
                <a:srgbClr val="FF9900"/>
              </a:solidFill>
            </c:spPr>
          </c:marker>
          <c:cat>
            <c:strRef>
              <c:f>'4-Materialen gebouwen'!$L$397:$L$411</c:f>
              <c:strCache>
                <c:ptCount val="15"/>
                <c:pt idx="0">
                  <c:v>Prefab ruwbouw</c:v>
                </c:pt>
                <c:pt idx="1">
                  <c:v>Aanpasbaarheid, flexibiliteit</c:v>
                </c:pt>
                <c:pt idx="2">
                  <c:v>Onderhoud en herstellingen van bouwschil en technieken</c:v>
                </c:pt>
                <c:pt idx="3">
                  <c:v>Afbraak van ruwbouw en afwerking</c:v>
                </c:pt>
                <c:pt idx="4">
                  <c:v>Oorsprong van de bouwmaterialen</c:v>
                </c:pt>
                <c:pt idx="5">
                  <c:v>Uitputting van grondstoffen en typologie van de materialen</c:v>
                </c:pt>
                <c:pt idx="6">
                  <c:v>Rationeel materiaalgebruik</c:v>
                </c:pt>
                <c:pt idx="7">
                  <c:v>Reductie van bouwafval en recyclage</c:v>
                </c:pt>
                <c:pt idx="8">
                  <c:v>impact op de gezondheid </c:v>
                </c:pt>
                <c:pt idx="9">
                  <c:v>Impact op het milieu</c:v>
                </c:pt>
                <c:pt idx="10">
                  <c:v>Circulatieruimtes - impact op het milieu</c:v>
                </c:pt>
                <c:pt idx="11">
                  <c:v>parkeren, overslag; impact op het milieu</c:v>
                </c:pt>
                <c:pt idx="12">
                  <c:v>Rationalisatie en zonering</c:v>
                </c:pt>
                <c:pt idx="13">
                  <c:v>Exploitatie van het potentieel van de site</c:v>
                </c:pt>
                <c:pt idx="14">
                  <c:v>Oorsprong en samenstelling</c:v>
                </c:pt>
              </c:strCache>
            </c:strRef>
          </c:cat>
          <c:val>
            <c:numRef>
              <c:f>'4-Materialen gebouwen'!$M$397:$M$411</c:f>
              <c:numCache>
                <c:formatCode>General</c:formatCode>
                <c:ptCount val="15"/>
                <c:pt idx="0">
                  <c:v>-1</c:v>
                </c:pt>
                <c:pt idx="1">
                  <c:v>3</c:v>
                </c:pt>
                <c:pt idx="2">
                  <c:v>-1</c:v>
                </c:pt>
                <c:pt idx="3">
                  <c:v>-1</c:v>
                </c:pt>
                <c:pt idx="4">
                  <c:v>-1</c:v>
                </c:pt>
                <c:pt idx="5">
                  <c:v>-1</c:v>
                </c:pt>
                <c:pt idx="6">
                  <c:v>0</c:v>
                </c:pt>
                <c:pt idx="7">
                  <c:v>-1</c:v>
                </c:pt>
                <c:pt idx="8">
                  <c:v>1</c:v>
                </c:pt>
                <c:pt idx="9">
                  <c:v>0</c:v>
                </c:pt>
                <c:pt idx="10">
                  <c:v>-1</c:v>
                </c:pt>
                <c:pt idx="11">
                  <c:v>3</c:v>
                </c:pt>
                <c:pt idx="12">
                  <c:v>1</c:v>
                </c:pt>
                <c:pt idx="13">
                  <c:v>0</c:v>
                </c:pt>
                <c:pt idx="14">
                  <c:v>1</c:v>
                </c:pt>
              </c:numCache>
            </c:numRef>
          </c:val>
        </c:ser>
        <c:dLbls>
          <c:showLegendKey val="0"/>
          <c:showVal val="0"/>
          <c:showCatName val="0"/>
          <c:showSerName val="0"/>
          <c:showPercent val="0"/>
          <c:showBubbleSize val="0"/>
        </c:dLbls>
        <c:axId val="125683584"/>
        <c:axId val="125685760"/>
      </c:radarChart>
      <c:catAx>
        <c:axId val="125683584"/>
        <c:scaling>
          <c:orientation val="minMax"/>
        </c:scaling>
        <c:delete val="0"/>
        <c:axPos val="b"/>
        <c:majorGridlines>
          <c:spPr>
            <a:ln w="44450"/>
          </c:spPr>
        </c:majorGridlines>
        <c:numFmt formatCode="@" sourceLinked="0"/>
        <c:majorTickMark val="out"/>
        <c:minorTickMark val="none"/>
        <c:tickLblPos val="nextTo"/>
        <c:txPr>
          <a:bodyPr rot="0" vert="horz"/>
          <a:lstStyle/>
          <a:p>
            <a:pPr>
              <a:defRPr sz="1400" b="0" i="0" u="none" strike="noStrike" baseline="0">
                <a:solidFill>
                  <a:srgbClr val="000000"/>
                </a:solidFill>
                <a:latin typeface="Arial"/>
                <a:ea typeface="Arial"/>
                <a:cs typeface="Arial"/>
              </a:defRPr>
            </a:pPr>
            <a:endParaRPr lang="nl-BE"/>
          </a:p>
        </c:txPr>
        <c:crossAx val="125685760"/>
        <c:crosses val="autoZero"/>
        <c:auto val="0"/>
        <c:lblAlgn val="ctr"/>
        <c:lblOffset val="100"/>
        <c:noMultiLvlLbl val="0"/>
      </c:catAx>
      <c:valAx>
        <c:axId val="125685760"/>
        <c:scaling>
          <c:orientation val="minMax"/>
          <c:max val="3"/>
          <c:min val="0"/>
        </c:scaling>
        <c:delete val="0"/>
        <c:axPos val="l"/>
        <c:majorGridlines/>
        <c:numFmt formatCode="General" sourceLinked="1"/>
        <c:majorTickMark val="none"/>
        <c:minorTickMark val="none"/>
        <c:tickLblPos val="none"/>
        <c:spPr>
          <a:ln w="44450"/>
        </c:spPr>
        <c:txPr>
          <a:bodyPr rot="0" vert="horz"/>
          <a:lstStyle/>
          <a:p>
            <a:pPr>
              <a:defRPr sz="1000" b="0" i="0" u="none" strike="noStrike" baseline="0">
                <a:solidFill>
                  <a:srgbClr val="CCFFFF"/>
                </a:solidFill>
                <a:latin typeface="Calibri"/>
                <a:ea typeface="Calibri"/>
                <a:cs typeface="Calibri"/>
              </a:defRPr>
            </a:pPr>
            <a:endParaRPr lang="nl-BE"/>
          </a:p>
        </c:txPr>
        <c:crossAx val="125683584"/>
        <c:crosses val="autoZero"/>
        <c:crossBetween val="between"/>
        <c:majorUnit val="1"/>
        <c:minorUnit val="1"/>
      </c:valAx>
      <c:spPr>
        <a:solidFill>
          <a:srgbClr val="9BBB59">
            <a:lumMod val="40000"/>
            <a:lumOff val="60000"/>
          </a:srgbClr>
        </a:solidFill>
      </c:spPr>
    </c:plotArea>
    <c:legend>
      <c:legendPos val="r"/>
      <c:legendEntry>
        <c:idx val="0"/>
        <c:txPr>
          <a:bodyPr/>
          <a:lstStyle/>
          <a:p>
            <a:pPr>
              <a:defRPr sz="2400" b="0" i="0" u="none" strike="noStrike" baseline="0">
                <a:solidFill>
                  <a:srgbClr val="000000"/>
                </a:solidFill>
                <a:latin typeface="Calibri"/>
                <a:ea typeface="Calibri"/>
                <a:cs typeface="Calibri"/>
              </a:defRPr>
            </a:pPr>
            <a:endParaRPr lang="nl-BE"/>
          </a:p>
        </c:txPr>
      </c:legendEntry>
      <c:layout>
        <c:manualLayout>
          <c:xMode val="edge"/>
          <c:yMode val="edge"/>
          <c:x val="0.79405294196355858"/>
          <c:y val="0.89709464836935304"/>
          <c:w val="0.11311046503528202"/>
          <c:h val="4.0663915062506412E-2"/>
        </c:manualLayout>
      </c:layout>
      <c:overlay val="0"/>
      <c:txPr>
        <a:bodyPr/>
        <a:lstStyle/>
        <a:p>
          <a:pPr>
            <a:defRPr sz="2400" b="0" i="0" u="none" strike="noStrike" baseline="0">
              <a:solidFill>
                <a:srgbClr val="000000"/>
              </a:solidFill>
              <a:latin typeface="Calibri"/>
              <a:ea typeface="Calibri"/>
              <a:cs typeface="Calibri"/>
            </a:defRPr>
          </a:pPr>
          <a:endParaRPr lang="nl-BE"/>
        </a:p>
      </c:txPr>
    </c:legend>
    <c:plotVisOnly val="1"/>
    <c:dispBlanksAs val="gap"/>
    <c:showDLblsOverMax val="0"/>
  </c:chart>
  <c:spPr>
    <a:solidFill>
      <a:srgbClr val="9BBB59">
        <a:lumMod val="40000"/>
        <a:lumOff val="60000"/>
      </a:srgbClr>
    </a:solidFill>
    <a:ln>
      <a:solidFill>
        <a:schemeClr val="tx1"/>
      </a:solidFill>
    </a:ln>
  </c:spPr>
  <c:txPr>
    <a:bodyPr/>
    <a:lstStyle/>
    <a:p>
      <a:pPr>
        <a:defRPr sz="1000" b="0" i="0" u="none" strike="noStrike" baseline="0">
          <a:solidFill>
            <a:srgbClr val="000000"/>
          </a:solidFill>
          <a:latin typeface="Calibri"/>
          <a:ea typeface="Calibri"/>
          <a:cs typeface="Calibri"/>
        </a:defRPr>
      </a:pPr>
      <a:endParaRPr lang="nl-BE"/>
    </a:p>
  </c:txPr>
  <c:printSettings>
    <c:headerFooter/>
    <c:pageMargins b="0.75000000000000855" l="0.70000000000000151" r="0.70000000000000151" t="0.75000000000000855" header="0.30000000000000027" footer="0.30000000000000027"/>
    <c:pageSetup/>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c:date1904 val="0"/>
  <c:lang val="nl-B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invertIfNegative val="0"/>
          <c:val>
            <c:numLit>
              <c:formatCode>General</c:formatCode>
              <c:ptCount val="1"/>
              <c:pt idx="0">
                <c:v>0</c:v>
              </c:pt>
            </c:numLit>
          </c:val>
        </c:ser>
        <c:ser>
          <c:idx val="3"/>
          <c:order val="1"/>
          <c:invertIfNegative val="0"/>
          <c:val>
            <c:numLit>
              <c:formatCode>General</c:formatCode>
              <c:ptCount val="1"/>
              <c:pt idx="0">
                <c:v>0</c:v>
              </c:pt>
            </c:numLit>
          </c:val>
        </c:ser>
        <c:ser>
          <c:idx val="4"/>
          <c:order val="2"/>
          <c:invertIfNegative val="0"/>
          <c:val>
            <c:numLit>
              <c:formatCode>General</c:formatCode>
              <c:ptCount val="1"/>
              <c:pt idx="0">
                <c:v>0</c:v>
              </c:pt>
            </c:numLit>
          </c:val>
        </c:ser>
        <c:ser>
          <c:idx val="5"/>
          <c:order val="3"/>
          <c:spPr>
            <a:solidFill>
              <a:srgbClr val="339966"/>
            </a:solidFill>
            <a:ln w="25400">
              <a:noFill/>
            </a:ln>
          </c:spPr>
          <c:invertIfNegative val="0"/>
          <c:val>
            <c:numLit>
              <c:formatCode>General</c:formatCode>
              <c:ptCount val="1"/>
              <c:pt idx="0">
                <c:v>0</c:v>
              </c:pt>
            </c:numLit>
          </c:val>
        </c:ser>
        <c:ser>
          <c:idx val="6"/>
          <c:order val="4"/>
          <c:spPr>
            <a:solidFill>
              <a:srgbClr val="006411"/>
            </a:solidFill>
            <a:ln w="25400">
              <a:noFill/>
            </a:ln>
          </c:spPr>
          <c:invertIfNegative val="0"/>
          <c:val>
            <c:numLit>
              <c:formatCode>General</c:formatCode>
              <c:ptCount val="1"/>
              <c:pt idx="0">
                <c:v>0</c:v>
              </c:pt>
            </c:numLit>
          </c:val>
        </c:ser>
        <c:ser>
          <c:idx val="7"/>
          <c:order val="5"/>
          <c:spPr>
            <a:solidFill>
              <a:srgbClr val="99CC00"/>
            </a:solidFill>
            <a:ln w="25400">
              <a:noFill/>
            </a:ln>
          </c:spPr>
          <c:invertIfNegative val="0"/>
          <c:val>
            <c:numLit>
              <c:formatCode>General</c:formatCode>
              <c:ptCount val="1"/>
              <c:pt idx="0">
                <c:v>0</c:v>
              </c:pt>
            </c:numLit>
          </c:val>
        </c:ser>
        <c:ser>
          <c:idx val="8"/>
          <c:order val="6"/>
          <c:spPr>
            <a:solidFill>
              <a:srgbClr val="FF99CC"/>
            </a:solidFill>
            <a:ln w="25400">
              <a:noFill/>
            </a:ln>
          </c:spPr>
          <c:invertIfNegative val="0"/>
          <c:val>
            <c:numLit>
              <c:formatCode>General</c:formatCode>
              <c:ptCount val="1"/>
              <c:pt idx="0">
                <c:v>0</c:v>
              </c:pt>
            </c:numLit>
          </c:val>
        </c:ser>
        <c:ser>
          <c:idx val="9"/>
          <c:order val="7"/>
          <c:spPr>
            <a:solidFill>
              <a:srgbClr val="FF00FF"/>
            </a:solidFill>
            <a:ln w="25400">
              <a:noFill/>
            </a:ln>
          </c:spPr>
          <c:invertIfNegative val="0"/>
          <c:val>
            <c:numLit>
              <c:formatCode>General</c:formatCode>
              <c:ptCount val="1"/>
              <c:pt idx="0">
                <c:v>0</c:v>
              </c:pt>
            </c:numLit>
          </c:val>
        </c:ser>
        <c:ser>
          <c:idx val="1"/>
          <c:order val="8"/>
          <c:spPr>
            <a:solidFill>
              <a:srgbClr val="FF6600"/>
            </a:solidFill>
            <a:ln w="25400">
              <a:noFill/>
            </a:ln>
          </c:spPr>
          <c:invertIfNegative val="0"/>
          <c:val>
            <c:numLit>
              <c:formatCode>General</c:formatCode>
              <c:ptCount val="1"/>
              <c:pt idx="0">
                <c:v>0</c:v>
              </c:pt>
            </c:numLit>
          </c:val>
        </c:ser>
        <c:dLbls>
          <c:showLegendKey val="0"/>
          <c:showVal val="0"/>
          <c:showCatName val="0"/>
          <c:showSerName val="0"/>
          <c:showPercent val="0"/>
          <c:showBubbleSize val="0"/>
        </c:dLbls>
        <c:gapWidth val="52"/>
        <c:overlap val="100"/>
        <c:axId val="132371968"/>
        <c:axId val="132373504"/>
      </c:barChart>
      <c:catAx>
        <c:axId val="13237196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BE"/>
          </a:p>
        </c:txPr>
        <c:crossAx val="132373504"/>
        <c:crosses val="autoZero"/>
        <c:auto val="1"/>
        <c:lblAlgn val="ctr"/>
        <c:lblOffset val="100"/>
        <c:noMultiLvlLbl val="0"/>
      </c:catAx>
      <c:valAx>
        <c:axId val="132373504"/>
        <c:scaling>
          <c:orientation val="minMax"/>
          <c:max val="1"/>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BE"/>
          </a:p>
        </c:txPr>
        <c:crossAx val="132371968"/>
        <c:crosses val="autoZero"/>
        <c:crossBetween val="between"/>
        <c:majorUnit val="0.2"/>
      </c:valAx>
    </c:plotArea>
    <c:legend>
      <c:legendPos val="b"/>
      <c:overlay val="0"/>
      <c:txPr>
        <a:bodyPr/>
        <a:lstStyle/>
        <a:p>
          <a:pPr>
            <a:defRPr sz="920" b="0" i="0" u="none" strike="noStrike" baseline="0">
              <a:solidFill>
                <a:srgbClr val="000000"/>
              </a:solidFill>
              <a:latin typeface="Calibri"/>
              <a:ea typeface="Calibri"/>
              <a:cs typeface="Calibri"/>
            </a:defRPr>
          </a:pPr>
          <a:endParaRPr lang="nl-B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Calibri"/>
          <a:ea typeface="Calibri"/>
          <a:cs typeface="Calibri"/>
        </a:defRPr>
      </a:pPr>
      <a:endParaRPr lang="nl-BE"/>
    </a:p>
  </c:txPr>
  <c:printSettings>
    <c:headerFooter alignWithMargins="0"/>
    <c:pageMargins b="0.98425196899999967" l="0.78740157499999996" r="0.78740157499999996" t="0.98425196899999967" header="0.49212598450000217" footer="0.49212598450000217"/>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nl-B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1"/>
        <c:ser>
          <c:idx val="0"/>
          <c:order val="0"/>
          <c:spPr>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40"/>
        <c:axId val="132381312"/>
        <c:axId val="132530560"/>
      </c:barChart>
      <c:catAx>
        <c:axId val="1323813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l-BE"/>
          </a:p>
        </c:txPr>
        <c:crossAx val="132530560"/>
        <c:crosses val="autoZero"/>
        <c:auto val="1"/>
        <c:lblAlgn val="ctr"/>
        <c:lblOffset val="100"/>
        <c:tickLblSkip val="1"/>
        <c:tickMarkSkip val="1"/>
        <c:noMultiLvlLbl val="0"/>
      </c:catAx>
      <c:valAx>
        <c:axId val="132530560"/>
        <c:scaling>
          <c:orientation val="minMax"/>
          <c:max val="20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l-BE"/>
          </a:p>
        </c:txPr>
        <c:crossAx val="132381312"/>
        <c:crosses val="autoZero"/>
        <c:crossBetween val="between"/>
        <c:majorUnit val="500"/>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25" b="0" i="0" u="none" strike="noStrike" baseline="0">
          <a:solidFill>
            <a:srgbClr val="000000"/>
          </a:solidFill>
          <a:latin typeface="Arial"/>
          <a:ea typeface="Arial"/>
          <a:cs typeface="Arial"/>
        </a:defRPr>
      </a:pPr>
      <a:endParaRPr lang="nl-BE"/>
    </a:p>
  </c:txPr>
  <c:printSettings>
    <c:headerFooter alignWithMargins="0"/>
    <c:pageMargins b="0.98425196899999967" l="0.78740157499999996" r="0.78740157499999996" t="0.98425196899999967" header="0.49212598450000217" footer="0.49212598450000217"/>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nl-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Geneva"/>
                <a:ea typeface="Geneva"/>
                <a:cs typeface="Geneva"/>
              </a:defRPr>
            </a:pPr>
            <a:endParaRPr lang="fr-BE"/>
          </a:p>
        </c:rich>
      </c:tx>
      <c:overlay val="0"/>
      <c:spPr>
        <a:noFill/>
        <a:ln w="25400">
          <a:noFill/>
        </a:ln>
      </c:spPr>
    </c:title>
    <c:autoTitleDeleted val="0"/>
    <c:plotArea>
      <c:layout/>
      <c:doughnutChart>
        <c:varyColors val="1"/>
        <c:ser>
          <c:idx val="0"/>
          <c:order val="0"/>
          <c:spPr>
            <a:solidFill>
              <a:srgbClr val="9999FF"/>
            </a:solidFill>
            <a:ln w="12700">
              <a:solidFill>
                <a:srgbClr val="000000"/>
              </a:solidFill>
              <a:prstDash val="solid"/>
            </a:ln>
          </c:spPr>
          <c:val>
            <c:numLit>
              <c:formatCode>General</c:formatCode>
              <c:ptCount val="1"/>
              <c:pt idx="0">
                <c:v>0</c:v>
              </c:pt>
            </c:numLit>
          </c:val>
        </c:ser>
        <c:ser>
          <c:idx val="1"/>
          <c:order val="1"/>
          <c:spPr>
            <a:solidFill>
              <a:srgbClr val="993366"/>
            </a:solidFill>
            <a:ln w="12700">
              <a:solidFill>
                <a:srgbClr val="000000"/>
              </a:solidFill>
              <a:prstDash val="solid"/>
            </a:ln>
          </c:spPr>
          <c:dLbls>
            <c:spPr>
              <a:noFill/>
              <a:ln w="25400">
                <a:noFill/>
              </a:ln>
            </c:spPr>
            <c:txPr>
              <a:bodyPr/>
              <a:lstStyle/>
              <a:p>
                <a:pPr>
                  <a:defRPr sz="800" b="1" i="0" u="none" strike="noStrike" baseline="0">
                    <a:solidFill>
                      <a:srgbClr val="000000"/>
                    </a:solidFill>
                    <a:latin typeface="Arial"/>
                    <a:ea typeface="Arial"/>
                    <a:cs typeface="Arial"/>
                  </a:defRPr>
                </a:pPr>
                <a:endParaRPr lang="nl-BE"/>
              </a:p>
            </c:txPr>
            <c:showLegendKey val="0"/>
            <c:showVal val="0"/>
            <c:showCatName val="1"/>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showLeaderLines val="0"/>
        </c:dLbls>
        <c:firstSliceAng val="270"/>
        <c:holeSize val="50"/>
      </c:doughnutChart>
      <c:spPr>
        <a:noFill/>
        <a:ln w="25400">
          <a:noFill/>
        </a:ln>
      </c:spPr>
    </c:plotArea>
    <c:plotVisOnly val="1"/>
    <c:dispBlanksAs val="zero"/>
    <c:showDLblsOverMax val="0"/>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nl-BE"/>
    </a:p>
  </c:txPr>
  <c:printSettings>
    <c:headerFooter alignWithMargins="0"/>
    <c:pageMargins b="0.98425196899999967" l="0.78740157499999996" r="0.78740157499999996" t="0.98425196899999967" header="0.49212598450000217" footer="0.49212598450000217"/>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nl-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Geneva"/>
                <a:ea typeface="Geneva"/>
                <a:cs typeface="Geneva"/>
              </a:defRPr>
            </a:pPr>
            <a:endParaRPr lang="fr-BE"/>
          </a:p>
        </c:rich>
      </c:tx>
      <c:overlay val="0"/>
      <c:spPr>
        <a:noFill/>
        <a:ln w="25400">
          <a:noFill/>
        </a:ln>
      </c:spPr>
    </c:title>
    <c:autoTitleDeleted val="0"/>
    <c:plotArea>
      <c:layout/>
      <c:doughnutChart>
        <c:varyColors val="1"/>
        <c:ser>
          <c:idx val="0"/>
          <c:order val="0"/>
          <c:spPr>
            <a:solidFill>
              <a:srgbClr val="9999FF"/>
            </a:solidFill>
            <a:ln w="12700">
              <a:solidFill>
                <a:srgbClr val="000000"/>
              </a:solidFill>
              <a:prstDash val="solid"/>
            </a:ln>
          </c:spPr>
          <c:val>
            <c:numLit>
              <c:formatCode>General</c:formatCode>
              <c:ptCount val="1"/>
              <c:pt idx="0">
                <c:v>0</c:v>
              </c:pt>
            </c:numLit>
          </c:val>
        </c:ser>
        <c:ser>
          <c:idx val="1"/>
          <c:order val="1"/>
          <c:spPr>
            <a:solidFill>
              <a:srgbClr val="993366"/>
            </a:solidFill>
            <a:ln w="12700">
              <a:solidFill>
                <a:srgbClr val="000000"/>
              </a:solidFill>
              <a:prstDash val="solid"/>
            </a:ln>
          </c:spPr>
          <c:dLbls>
            <c:spPr>
              <a:noFill/>
              <a:ln w="25400">
                <a:noFill/>
              </a:ln>
            </c:spPr>
            <c:txPr>
              <a:bodyPr/>
              <a:lstStyle/>
              <a:p>
                <a:pPr>
                  <a:defRPr sz="800" b="1" i="0" u="none" strike="noStrike" baseline="0">
                    <a:solidFill>
                      <a:srgbClr val="000000"/>
                    </a:solidFill>
                    <a:latin typeface="Arial"/>
                    <a:ea typeface="Arial"/>
                    <a:cs typeface="Arial"/>
                  </a:defRPr>
                </a:pPr>
                <a:endParaRPr lang="nl-BE"/>
              </a:p>
            </c:txPr>
            <c:showLegendKey val="0"/>
            <c:showVal val="0"/>
            <c:showCatName val="1"/>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showLeaderLines val="0"/>
        </c:dLbls>
        <c:firstSliceAng val="270"/>
        <c:holeSize val="50"/>
      </c:doughnutChart>
      <c:spPr>
        <a:noFill/>
        <a:ln w="25400">
          <a:noFill/>
        </a:ln>
      </c:spPr>
    </c:plotArea>
    <c:plotVisOnly val="1"/>
    <c:dispBlanksAs val="zero"/>
    <c:showDLblsOverMax val="0"/>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nl-BE"/>
    </a:p>
  </c:txPr>
  <c:printSettings>
    <c:headerFooter alignWithMargins="0"/>
    <c:pageMargins b="0.98425196899999967" l="0.78740157499999996" r="0.78740157499999996" t="0.98425196899999967" header="0.49212598450000217" footer="0.49212598450000217"/>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nl-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Geneva"/>
                <a:ea typeface="Geneva"/>
                <a:cs typeface="Geneva"/>
              </a:defRPr>
            </a:pPr>
            <a:endParaRPr lang="fr-BE"/>
          </a:p>
        </c:rich>
      </c:tx>
      <c:overlay val="0"/>
      <c:spPr>
        <a:noFill/>
        <a:ln w="25400">
          <a:noFill/>
        </a:ln>
      </c:spPr>
    </c:title>
    <c:autoTitleDeleted val="0"/>
    <c:plotArea>
      <c:layout/>
      <c:doughnutChart>
        <c:varyColors val="1"/>
        <c:ser>
          <c:idx val="0"/>
          <c:order val="0"/>
          <c:spPr>
            <a:solidFill>
              <a:srgbClr val="9999FF"/>
            </a:solidFill>
            <a:ln w="12700">
              <a:solidFill>
                <a:srgbClr val="000000"/>
              </a:solidFill>
              <a:prstDash val="solid"/>
            </a:ln>
          </c:spPr>
          <c:val>
            <c:numLit>
              <c:formatCode>General</c:formatCode>
              <c:ptCount val="1"/>
              <c:pt idx="0">
                <c:v>0</c:v>
              </c:pt>
            </c:numLit>
          </c:val>
        </c:ser>
        <c:ser>
          <c:idx val="1"/>
          <c:order val="1"/>
          <c:spPr>
            <a:solidFill>
              <a:srgbClr val="993366"/>
            </a:solidFill>
            <a:ln w="12700">
              <a:solidFill>
                <a:srgbClr val="000000"/>
              </a:solidFill>
              <a:prstDash val="solid"/>
            </a:ln>
          </c:spPr>
          <c:dLbls>
            <c:spPr>
              <a:noFill/>
              <a:ln w="25400">
                <a:noFill/>
              </a:ln>
            </c:spPr>
            <c:txPr>
              <a:bodyPr/>
              <a:lstStyle/>
              <a:p>
                <a:pPr>
                  <a:defRPr sz="800" b="1" i="0" u="none" strike="noStrike" baseline="0">
                    <a:solidFill>
                      <a:srgbClr val="000000"/>
                    </a:solidFill>
                    <a:latin typeface="Arial"/>
                    <a:ea typeface="Arial"/>
                    <a:cs typeface="Arial"/>
                  </a:defRPr>
                </a:pPr>
                <a:endParaRPr lang="nl-BE"/>
              </a:p>
            </c:txPr>
            <c:showLegendKey val="0"/>
            <c:showVal val="0"/>
            <c:showCatName val="1"/>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showLeaderLines val="0"/>
        </c:dLbls>
        <c:firstSliceAng val="270"/>
        <c:holeSize val="50"/>
      </c:doughnutChart>
      <c:spPr>
        <a:noFill/>
        <a:ln w="25400">
          <a:noFill/>
        </a:ln>
      </c:spPr>
    </c:plotArea>
    <c:plotVisOnly val="1"/>
    <c:dispBlanksAs val="zero"/>
    <c:showDLblsOverMax val="0"/>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nl-BE"/>
    </a:p>
  </c:txPr>
  <c:printSettings>
    <c:headerFooter alignWithMargins="0"/>
    <c:pageMargins b="0.98425196899999967" l="0.78740157499999996" r="0.78740157499999996" t="0.98425196899999967" header="0.49212598450000217" footer="0.49212598450000217"/>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nl-B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32989690721601"/>
          <c:y val="3.139013452914801E-2"/>
          <c:w val="0.82268041237114065"/>
          <c:h val="0.66051404565141403"/>
        </c:manualLayout>
      </c:layout>
      <c:barChart>
        <c:barDir val="col"/>
        <c:grouping val="percentStacked"/>
        <c:varyColors val="0"/>
        <c:ser>
          <c:idx val="0"/>
          <c:order val="0"/>
          <c:tx>
            <c:strRef>
              <c:f>'5-Tool Mobiliteit A'!$B$99</c:f>
              <c:strCache>
                <c:ptCount val="1"/>
                <c:pt idx="0">
                  <c:v>Wagen</c:v>
                </c:pt>
              </c:strCache>
            </c:strRef>
          </c:tx>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invertIfNegative val="0"/>
          <c:cat>
            <c:strRef>
              <c:f>('5-Tool Mobiliteit A'!$F$96,'5-Tool Mobiliteit A'!$H$96,'5-Tool Mobiliteit A'!$I$96)</c:f>
              <c:strCache>
                <c:ptCount val="3"/>
                <c:pt idx="0">
                  <c:v>kg CO2</c:v>
                </c:pt>
                <c:pt idx="1">
                  <c:v>Verbruik (kWh)</c:v>
                </c:pt>
                <c:pt idx="2">
                  <c:v>Kosten</c:v>
                </c:pt>
              </c:strCache>
            </c:strRef>
          </c:cat>
          <c:val>
            <c:numRef>
              <c:f>('5-Tool Mobiliteit A'!$F$99,'5-Tool Mobiliteit A'!$H$99,'5-Tool Mobiliteit A'!$I$99)</c:f>
              <c:numCache>
                <c:formatCode>#,##0</c:formatCode>
                <c:ptCount val="3"/>
                <c:pt idx="0">
                  <c:v>0</c:v>
                </c:pt>
                <c:pt idx="1">
                  <c:v>0</c:v>
                </c:pt>
                <c:pt idx="2" formatCode="_-* #,##0.00\ [$€-80C]_-;\-* #,##0.00\ [$€-80C]_-;_-* &quot;-&quot;??\ [$€-80C]_-;_-@_-">
                  <c:v>0</c:v>
                </c:pt>
              </c:numCache>
            </c:numRef>
          </c:val>
        </c:ser>
        <c:ser>
          <c:idx val="3"/>
          <c:order val="1"/>
          <c:tx>
            <c:strRef>
              <c:f>'5-Tool Mobiliteit A'!$B$103</c:f>
              <c:strCache>
                <c:ptCount val="1"/>
                <c:pt idx="0">
                  <c:v>Samenrijden</c:v>
                </c:pt>
              </c:strCache>
            </c:strRef>
          </c:tx>
          <c:invertIfNegative val="0"/>
          <c:cat>
            <c:strRef>
              <c:f>('5-Tool Mobiliteit A'!$F$96,'5-Tool Mobiliteit A'!$H$96,'5-Tool Mobiliteit A'!$I$96)</c:f>
              <c:strCache>
                <c:ptCount val="3"/>
                <c:pt idx="0">
                  <c:v>kg CO2</c:v>
                </c:pt>
                <c:pt idx="1">
                  <c:v>Verbruik (kWh)</c:v>
                </c:pt>
                <c:pt idx="2">
                  <c:v>Kosten</c:v>
                </c:pt>
              </c:strCache>
            </c:strRef>
          </c:cat>
          <c:val>
            <c:numRef>
              <c:f>('5-Tool Mobiliteit A'!$F$103,'5-Tool Mobiliteit A'!$H$103,'5-Tool Mobiliteit A'!$I$103)</c:f>
              <c:numCache>
                <c:formatCode>#,##0</c:formatCode>
                <c:ptCount val="3"/>
                <c:pt idx="0">
                  <c:v>0</c:v>
                </c:pt>
                <c:pt idx="1">
                  <c:v>0</c:v>
                </c:pt>
                <c:pt idx="2" formatCode="_-* #,##0.00\ [$€-80C]_-;\-* #,##0.00\ [$€-80C]_-;_-* &quot;-&quot;??\ [$€-80C]_-;_-@_-">
                  <c:v>0</c:v>
                </c:pt>
              </c:numCache>
            </c:numRef>
          </c:val>
        </c:ser>
        <c:ser>
          <c:idx val="4"/>
          <c:order val="2"/>
          <c:tx>
            <c:strRef>
              <c:f>'5-Tool Mobiliteit A'!$B$104</c:f>
              <c:strCache>
                <c:ptCount val="1"/>
                <c:pt idx="0">
                  <c:v>Motoren</c:v>
                </c:pt>
              </c:strCache>
            </c:strRef>
          </c:tx>
          <c:invertIfNegative val="0"/>
          <c:cat>
            <c:strRef>
              <c:f>('5-Tool Mobiliteit A'!$F$96,'5-Tool Mobiliteit A'!$H$96,'5-Tool Mobiliteit A'!$I$96)</c:f>
              <c:strCache>
                <c:ptCount val="3"/>
                <c:pt idx="0">
                  <c:v>kg CO2</c:v>
                </c:pt>
                <c:pt idx="1">
                  <c:v>Verbruik (kWh)</c:v>
                </c:pt>
                <c:pt idx="2">
                  <c:v>Kosten</c:v>
                </c:pt>
              </c:strCache>
            </c:strRef>
          </c:cat>
          <c:val>
            <c:numRef>
              <c:f>('5-Tool Mobiliteit A'!$F$104,'5-Tool Mobiliteit A'!$H$104,'5-Tool Mobiliteit A'!$I$104)</c:f>
              <c:numCache>
                <c:formatCode>#,##0</c:formatCode>
                <c:ptCount val="3"/>
                <c:pt idx="0">
                  <c:v>0</c:v>
                </c:pt>
                <c:pt idx="1">
                  <c:v>0</c:v>
                </c:pt>
                <c:pt idx="2" formatCode="_-* #,##0.00\ [$€-80C]_-;\-* #,##0.00\ [$€-80C]_-;_-* &quot;-&quot;??\ [$€-80C]_-;_-@_-">
                  <c:v>0</c:v>
                </c:pt>
              </c:numCache>
            </c:numRef>
          </c:val>
        </c:ser>
        <c:ser>
          <c:idx val="5"/>
          <c:order val="3"/>
          <c:tx>
            <c:strRef>
              <c:f>'5-Tool Mobiliteit A'!$B$105</c:f>
              <c:strCache>
                <c:ptCount val="1"/>
                <c:pt idx="0">
                  <c:v>Trein</c:v>
                </c:pt>
              </c:strCache>
            </c:strRef>
          </c:tx>
          <c:spPr>
            <a:solidFill>
              <a:srgbClr val="339966"/>
            </a:solidFill>
            <a:ln w="25400">
              <a:noFill/>
            </a:ln>
          </c:spPr>
          <c:invertIfNegative val="0"/>
          <c:cat>
            <c:strRef>
              <c:f>('5-Tool Mobiliteit A'!$F$96,'5-Tool Mobiliteit A'!$H$96,'5-Tool Mobiliteit A'!$I$96)</c:f>
              <c:strCache>
                <c:ptCount val="3"/>
                <c:pt idx="0">
                  <c:v>kg CO2</c:v>
                </c:pt>
                <c:pt idx="1">
                  <c:v>Verbruik (kWh)</c:v>
                </c:pt>
                <c:pt idx="2">
                  <c:v>Kosten</c:v>
                </c:pt>
              </c:strCache>
            </c:strRef>
          </c:cat>
          <c:val>
            <c:numRef>
              <c:f>('5-Tool Mobiliteit A'!$F$105,'5-Tool Mobiliteit A'!$H$105,'5-Tool Mobiliteit A'!$I$105)</c:f>
              <c:numCache>
                <c:formatCode>#,##0</c:formatCode>
                <c:ptCount val="3"/>
                <c:pt idx="0">
                  <c:v>0</c:v>
                </c:pt>
                <c:pt idx="1">
                  <c:v>0</c:v>
                </c:pt>
                <c:pt idx="2" formatCode="_-* #,##0.00\ [$€-80C]_-;\-* #,##0.00\ [$€-80C]_-;_-* &quot;-&quot;??\ [$€-80C]_-;_-@_-">
                  <c:v>0</c:v>
                </c:pt>
              </c:numCache>
            </c:numRef>
          </c:val>
        </c:ser>
        <c:ser>
          <c:idx val="6"/>
          <c:order val="4"/>
          <c:tx>
            <c:strRef>
              <c:f>'5-Tool Mobiliteit A'!$B$106</c:f>
              <c:strCache>
                <c:ptCount val="1"/>
                <c:pt idx="0">
                  <c:v>TGV</c:v>
                </c:pt>
              </c:strCache>
            </c:strRef>
          </c:tx>
          <c:spPr>
            <a:solidFill>
              <a:srgbClr val="006411"/>
            </a:solidFill>
            <a:ln w="25400">
              <a:noFill/>
            </a:ln>
          </c:spPr>
          <c:invertIfNegative val="0"/>
          <c:cat>
            <c:strRef>
              <c:f>('5-Tool Mobiliteit A'!$F$96,'5-Tool Mobiliteit A'!$H$96,'5-Tool Mobiliteit A'!$I$96)</c:f>
              <c:strCache>
                <c:ptCount val="3"/>
                <c:pt idx="0">
                  <c:v>kg CO2</c:v>
                </c:pt>
                <c:pt idx="1">
                  <c:v>Verbruik (kWh)</c:v>
                </c:pt>
                <c:pt idx="2">
                  <c:v>Kosten</c:v>
                </c:pt>
              </c:strCache>
            </c:strRef>
          </c:cat>
          <c:val>
            <c:numRef>
              <c:f>('5-Tool Mobiliteit A'!$F$106,'5-Tool Mobiliteit A'!$H$106,'5-Tool Mobiliteit A'!$I$106)</c:f>
              <c:numCache>
                <c:formatCode>#,##0</c:formatCode>
                <c:ptCount val="3"/>
                <c:pt idx="0">
                  <c:v>0</c:v>
                </c:pt>
                <c:pt idx="1">
                  <c:v>0</c:v>
                </c:pt>
                <c:pt idx="2" formatCode="_-* #,##0.00\ [$€-80C]_-;\-* #,##0.00\ [$€-80C]_-;_-* &quot;-&quot;??\ [$€-80C]_-;_-@_-">
                  <c:v>0</c:v>
                </c:pt>
              </c:numCache>
            </c:numRef>
          </c:val>
        </c:ser>
        <c:ser>
          <c:idx val="7"/>
          <c:order val="5"/>
          <c:tx>
            <c:strRef>
              <c:f>'5-Tool Mobiliteit A'!$B$107</c:f>
              <c:strCache>
                <c:ptCount val="1"/>
                <c:pt idx="0">
                  <c:v>Bus</c:v>
                </c:pt>
              </c:strCache>
            </c:strRef>
          </c:tx>
          <c:spPr>
            <a:solidFill>
              <a:srgbClr val="99CC00"/>
            </a:solidFill>
            <a:ln w="25400">
              <a:noFill/>
            </a:ln>
          </c:spPr>
          <c:invertIfNegative val="0"/>
          <c:cat>
            <c:strRef>
              <c:f>('5-Tool Mobiliteit A'!$F$96,'5-Tool Mobiliteit A'!$H$96,'5-Tool Mobiliteit A'!$I$96)</c:f>
              <c:strCache>
                <c:ptCount val="3"/>
                <c:pt idx="0">
                  <c:v>kg CO2</c:v>
                </c:pt>
                <c:pt idx="1">
                  <c:v>Verbruik (kWh)</c:v>
                </c:pt>
                <c:pt idx="2">
                  <c:v>Kosten</c:v>
                </c:pt>
              </c:strCache>
            </c:strRef>
          </c:cat>
          <c:val>
            <c:numRef>
              <c:f>('5-Tool Mobiliteit A'!$F$107,'5-Tool Mobiliteit A'!$H$107,'5-Tool Mobiliteit A'!$I$107)</c:f>
              <c:numCache>
                <c:formatCode>#,##0</c:formatCode>
                <c:ptCount val="3"/>
                <c:pt idx="0">
                  <c:v>0</c:v>
                </c:pt>
                <c:pt idx="1">
                  <c:v>0</c:v>
                </c:pt>
                <c:pt idx="2" formatCode="_-* #,##0.00\ [$€-80C]_-;\-* #,##0.00\ [$€-80C]_-;_-* &quot;-&quot;??\ [$€-80C]_-;_-@_-">
                  <c:v>0</c:v>
                </c:pt>
              </c:numCache>
            </c:numRef>
          </c:val>
        </c:ser>
        <c:ser>
          <c:idx val="8"/>
          <c:order val="6"/>
          <c:tx>
            <c:strRef>
              <c:f>'5-Tool Mobiliteit A'!$B$109</c:f>
              <c:strCache>
                <c:ptCount val="1"/>
                <c:pt idx="0">
                  <c:v>Vliegtuig korte afstand (&lt; 1000 km)</c:v>
                </c:pt>
              </c:strCache>
            </c:strRef>
          </c:tx>
          <c:spPr>
            <a:solidFill>
              <a:srgbClr val="FF99CC"/>
            </a:solidFill>
            <a:ln w="25400">
              <a:noFill/>
            </a:ln>
          </c:spPr>
          <c:invertIfNegative val="0"/>
          <c:cat>
            <c:strRef>
              <c:f>('5-Tool Mobiliteit A'!$F$96,'5-Tool Mobiliteit A'!$H$96,'5-Tool Mobiliteit A'!$I$96)</c:f>
              <c:strCache>
                <c:ptCount val="3"/>
                <c:pt idx="0">
                  <c:v>kg CO2</c:v>
                </c:pt>
                <c:pt idx="1">
                  <c:v>Verbruik (kWh)</c:v>
                </c:pt>
                <c:pt idx="2">
                  <c:v>Kosten</c:v>
                </c:pt>
              </c:strCache>
            </c:strRef>
          </c:cat>
          <c:val>
            <c:numRef>
              <c:f>('5-Tool Mobiliteit A'!$F$109,'5-Tool Mobiliteit A'!$H$109,'5-Tool Mobiliteit A'!$I$109)</c:f>
              <c:numCache>
                <c:formatCode>#,##0</c:formatCode>
                <c:ptCount val="3"/>
                <c:pt idx="0">
                  <c:v>0</c:v>
                </c:pt>
                <c:pt idx="1">
                  <c:v>0</c:v>
                </c:pt>
                <c:pt idx="2" formatCode="_-* #,##0.00\ [$€-80C]_-;\-* #,##0.00\ [$€-80C]_-;_-* &quot;-&quot;??\ [$€-80C]_-;_-@_-">
                  <c:v>0</c:v>
                </c:pt>
              </c:numCache>
            </c:numRef>
          </c:val>
        </c:ser>
        <c:ser>
          <c:idx val="9"/>
          <c:order val="7"/>
          <c:tx>
            <c:strRef>
              <c:f>'5-Tool Mobiliteit A'!$B$110</c:f>
              <c:strCache>
                <c:ptCount val="1"/>
                <c:pt idx="0">
                  <c:v>Vliegtuig lange afstand (&gt; 1000 km)</c:v>
                </c:pt>
              </c:strCache>
            </c:strRef>
          </c:tx>
          <c:spPr>
            <a:solidFill>
              <a:srgbClr val="FF00FF"/>
            </a:solidFill>
            <a:ln w="25400">
              <a:noFill/>
            </a:ln>
          </c:spPr>
          <c:invertIfNegative val="0"/>
          <c:cat>
            <c:strRef>
              <c:f>('5-Tool Mobiliteit A'!$F$96,'5-Tool Mobiliteit A'!$H$96,'5-Tool Mobiliteit A'!$I$96)</c:f>
              <c:strCache>
                <c:ptCount val="3"/>
                <c:pt idx="0">
                  <c:v>kg CO2</c:v>
                </c:pt>
                <c:pt idx="1">
                  <c:v>Verbruik (kWh)</c:v>
                </c:pt>
                <c:pt idx="2">
                  <c:v>Kosten</c:v>
                </c:pt>
              </c:strCache>
            </c:strRef>
          </c:cat>
          <c:val>
            <c:numRef>
              <c:f>('5-Tool Mobiliteit A'!$F$110,'5-Tool Mobiliteit A'!$H$110,'5-Tool Mobiliteit A'!$I$110)</c:f>
              <c:numCache>
                <c:formatCode>#,##0</c:formatCode>
                <c:ptCount val="3"/>
                <c:pt idx="0">
                  <c:v>0</c:v>
                </c:pt>
                <c:pt idx="1">
                  <c:v>0</c:v>
                </c:pt>
                <c:pt idx="2" formatCode="_-* #,##0.00\ [$€-80C]_-;\-* #,##0.00\ [$€-80C]_-;_-* &quot;-&quot;??\ [$€-80C]_-;_-@_-">
                  <c:v>0</c:v>
                </c:pt>
              </c:numCache>
            </c:numRef>
          </c:val>
        </c:ser>
        <c:ser>
          <c:idx val="1"/>
          <c:order val="8"/>
          <c:tx>
            <c:strRef>
              <c:f>'5-Tool Mobiliteit A'!$B$108</c:f>
              <c:strCache>
                <c:ptCount val="1"/>
                <c:pt idx="0">
                  <c:v>Fiets/Te voet</c:v>
                </c:pt>
              </c:strCache>
            </c:strRef>
          </c:tx>
          <c:spPr>
            <a:solidFill>
              <a:srgbClr val="FF6600"/>
            </a:solidFill>
            <a:ln w="25400">
              <a:noFill/>
            </a:ln>
          </c:spPr>
          <c:invertIfNegative val="0"/>
          <c:cat>
            <c:strRef>
              <c:f>('5-Tool Mobiliteit A'!$F$96,'5-Tool Mobiliteit A'!$H$96,'5-Tool Mobiliteit A'!$I$96)</c:f>
              <c:strCache>
                <c:ptCount val="3"/>
                <c:pt idx="0">
                  <c:v>kg CO2</c:v>
                </c:pt>
                <c:pt idx="1">
                  <c:v>Verbruik (kWh)</c:v>
                </c:pt>
                <c:pt idx="2">
                  <c:v>Kosten</c:v>
                </c:pt>
              </c:strCache>
            </c:strRef>
          </c:cat>
          <c:val>
            <c:numRef>
              <c:f>('5-Tool Mobiliteit A'!$F$108,'5-Tool Mobiliteit A'!$H$108,'5-Tool Mobiliteit A'!$I$108)</c:f>
              <c:numCache>
                <c:formatCode>#,##0</c:formatCode>
                <c:ptCount val="3"/>
                <c:pt idx="0">
                  <c:v>0</c:v>
                </c:pt>
                <c:pt idx="1">
                  <c:v>0</c:v>
                </c:pt>
                <c:pt idx="2" formatCode="_-* #,##0.00\ [$€-80C]_-;\-* #,##0.00\ [$€-80C]_-;_-* &quot;-&quot;??\ [$€-80C]_-;_-@_-">
                  <c:v>0</c:v>
                </c:pt>
              </c:numCache>
            </c:numRef>
          </c:val>
        </c:ser>
        <c:dLbls>
          <c:showLegendKey val="0"/>
          <c:showVal val="0"/>
          <c:showCatName val="0"/>
          <c:showSerName val="0"/>
          <c:showPercent val="0"/>
          <c:showBubbleSize val="0"/>
        </c:dLbls>
        <c:gapWidth val="52"/>
        <c:overlap val="100"/>
        <c:axId val="132488576"/>
        <c:axId val="132506752"/>
      </c:barChart>
      <c:catAx>
        <c:axId val="13248857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BE"/>
          </a:p>
        </c:txPr>
        <c:crossAx val="132506752"/>
        <c:crosses val="autoZero"/>
        <c:auto val="1"/>
        <c:lblAlgn val="ctr"/>
        <c:lblOffset val="100"/>
        <c:noMultiLvlLbl val="0"/>
      </c:catAx>
      <c:valAx>
        <c:axId val="132506752"/>
        <c:scaling>
          <c:orientation val="minMax"/>
          <c:max val="1"/>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BE"/>
          </a:p>
        </c:txPr>
        <c:crossAx val="132488576"/>
        <c:crosses val="autoZero"/>
        <c:crossBetween val="between"/>
        <c:majorUnit val="0.2"/>
      </c:valAx>
    </c:plotArea>
    <c:legend>
      <c:legendPos val="b"/>
      <c:layout>
        <c:manualLayout>
          <c:xMode val="edge"/>
          <c:yMode val="edge"/>
          <c:x val="0.138187963627039"/>
          <c:y val="0.77180501044180783"/>
          <c:w val="0.80917464674720796"/>
          <c:h val="0.21922657500629808"/>
        </c:manualLayout>
      </c:layout>
      <c:overlay val="0"/>
      <c:txPr>
        <a:bodyPr/>
        <a:lstStyle/>
        <a:p>
          <a:pPr>
            <a:defRPr sz="920" b="0" i="0" u="none" strike="noStrike" baseline="0">
              <a:solidFill>
                <a:srgbClr val="000000"/>
              </a:solidFill>
              <a:latin typeface="Calibri"/>
              <a:ea typeface="Calibri"/>
              <a:cs typeface="Calibri"/>
            </a:defRPr>
          </a:pPr>
          <a:endParaRPr lang="nl-BE"/>
        </a:p>
      </c:txPr>
    </c:legend>
    <c:plotVisOnly val="0"/>
    <c:dispBlanksAs val="gap"/>
    <c:showDLblsOverMax val="0"/>
  </c:chart>
  <c:spPr>
    <a:solidFill>
      <a:srgbClr val="FFFFFF"/>
    </a:solidFill>
    <a:ln w="9525">
      <a:noFill/>
    </a:ln>
  </c:spPr>
  <c:txPr>
    <a:bodyPr/>
    <a:lstStyle/>
    <a:p>
      <a:pPr>
        <a:defRPr sz="1000" b="0" i="0" u="none" strike="noStrike" baseline="0">
          <a:solidFill>
            <a:srgbClr val="000000"/>
          </a:solidFill>
          <a:latin typeface="Calibri"/>
          <a:ea typeface="Calibri"/>
          <a:cs typeface="Calibri"/>
        </a:defRPr>
      </a:pPr>
      <a:endParaRPr lang="nl-BE"/>
    </a:p>
  </c:txPr>
  <c:printSettings>
    <c:headerFooter alignWithMargins="0"/>
    <c:pageMargins b="0.98425196899999967" l="0.78740157499999996" r="0.78740157499999996" t="0.98425196899999967" header="0.49212598450000217" footer="0.49212598450000217"/>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nl-B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3888775035598"/>
          <c:y val="0.10288107189216696"/>
          <c:w val="0.74115727841712131"/>
          <c:h val="0.72428274612086097"/>
        </c:manualLayout>
      </c:layout>
      <c:barChart>
        <c:barDir val="col"/>
        <c:grouping val="clustered"/>
        <c:varyColors val="1"/>
        <c:ser>
          <c:idx val="0"/>
          <c:order val="0"/>
          <c:spPr>
            <a:solidFill>
              <a:srgbClr val="9999FF"/>
            </a:solidFill>
            <a:ln w="12700">
              <a:solidFill>
                <a:srgbClr val="000000"/>
              </a:solidFill>
              <a:prstDash val="solid"/>
            </a:ln>
          </c:spPr>
          <c:invertIfNegative val="0"/>
          <c:dPt>
            <c:idx val="0"/>
            <c:invertIfNegative val="0"/>
            <c:bubble3D val="0"/>
            <c:spPr>
              <a:gradFill rotWithShape="0">
                <a:gsLst>
                  <a:gs pos="0">
                    <a:srgbClr val="FF6600"/>
                  </a:gs>
                  <a:gs pos="50000">
                    <a:srgbClr val="FFFFFF"/>
                  </a:gs>
                  <a:gs pos="100000">
                    <a:srgbClr val="FF6600"/>
                  </a:gs>
                </a:gsLst>
                <a:lin ang="0" scaled="1"/>
              </a:gradFill>
              <a:ln w="12700">
                <a:solidFill>
                  <a:srgbClr val="000000"/>
                </a:solidFill>
                <a:prstDash val="solid"/>
              </a:ln>
            </c:spPr>
          </c:dPt>
          <c:dPt>
            <c:idx val="1"/>
            <c:invertIfNegative val="0"/>
            <c:bubble3D val="0"/>
            <c:spPr>
              <a:gradFill rotWithShape="0">
                <a:gsLst>
                  <a:gs pos="0">
                    <a:srgbClr val="99CC00"/>
                  </a:gs>
                  <a:gs pos="50000">
                    <a:srgbClr val="FFFFFF"/>
                  </a:gs>
                  <a:gs pos="100000">
                    <a:srgbClr val="99CC00"/>
                  </a:gs>
                </a:gsLst>
                <a:lin ang="0" scaled="1"/>
              </a:gradFill>
              <a:ln w="12700">
                <a:solidFill>
                  <a:srgbClr val="000000"/>
                </a:solidFill>
                <a:prstDash val="solid"/>
              </a:ln>
            </c:spPr>
          </c:dPt>
          <c:cat>
            <c:strRef>
              <c:f>('5-Tool Mobiliteit A'!$A$116,'5-Tool Mobiliteit A'!$A$119)</c:f>
              <c:strCache>
                <c:ptCount val="2"/>
                <c:pt idx="0">
                  <c:v>Indicatoren</c:v>
                </c:pt>
                <c:pt idx="1">
                  <c:v>Niveau 4</c:v>
                </c:pt>
              </c:strCache>
            </c:strRef>
          </c:cat>
          <c:val>
            <c:numRef>
              <c:f>('5-Tool Mobiliteit A'!$F$116,'5-Tool Mobiliteit A'!$F$119)</c:f>
              <c:numCache>
                <c:formatCode>#,##0</c:formatCode>
                <c:ptCount val="2"/>
                <c:pt idx="0">
                  <c:v>0</c:v>
                </c:pt>
                <c:pt idx="1">
                  <c:v>0</c:v>
                </c:pt>
              </c:numCache>
            </c:numRef>
          </c:val>
        </c:ser>
        <c:dLbls>
          <c:showLegendKey val="0"/>
          <c:showVal val="0"/>
          <c:showCatName val="0"/>
          <c:showSerName val="0"/>
          <c:showPercent val="0"/>
          <c:showBubbleSize val="0"/>
        </c:dLbls>
        <c:gapWidth val="40"/>
        <c:axId val="138688000"/>
        <c:axId val="138689536"/>
      </c:barChart>
      <c:catAx>
        <c:axId val="1386880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l-BE"/>
          </a:p>
        </c:txPr>
        <c:crossAx val="138689536"/>
        <c:crosses val="autoZero"/>
        <c:auto val="1"/>
        <c:lblAlgn val="ctr"/>
        <c:lblOffset val="100"/>
        <c:tickLblSkip val="1"/>
        <c:tickMarkSkip val="1"/>
        <c:noMultiLvlLbl val="0"/>
      </c:catAx>
      <c:valAx>
        <c:axId val="138689536"/>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l-BE"/>
          </a:p>
        </c:txPr>
        <c:crossAx val="138688000"/>
        <c:crosses val="autoZero"/>
        <c:crossBetween val="between"/>
      </c:valAx>
      <c:spPr>
        <a:no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225" b="0" i="0" u="none" strike="noStrike" baseline="0">
          <a:solidFill>
            <a:srgbClr val="000000"/>
          </a:solidFill>
          <a:latin typeface="Arial"/>
          <a:ea typeface="Arial"/>
          <a:cs typeface="Arial"/>
        </a:defRPr>
      </a:pPr>
      <a:endParaRPr lang="nl-BE"/>
    </a:p>
  </c:txPr>
  <c:printSettings>
    <c:headerFooter alignWithMargins="0"/>
    <c:pageMargins b="0.98425196899999967" l="0.78740157499999996" r="0.78740157499999996" t="0.98425196899999967" header="0.49212598450000217" footer="0.49212598450000217"/>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nl-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Geneva"/>
                <a:ea typeface="Geneva"/>
                <a:cs typeface="Geneva"/>
              </a:defRPr>
            </a:pPr>
            <a:endParaRPr lang="fr-BE"/>
          </a:p>
        </c:rich>
      </c:tx>
      <c:overlay val="0"/>
      <c:spPr>
        <a:noFill/>
        <a:ln w="25400">
          <a:noFill/>
        </a:ln>
      </c:spPr>
    </c:title>
    <c:autoTitleDeleted val="0"/>
    <c:plotArea>
      <c:layout/>
      <c:doughnutChart>
        <c:varyColors val="1"/>
        <c:ser>
          <c:idx val="0"/>
          <c:order val="0"/>
          <c:spPr>
            <a:solidFill>
              <a:srgbClr val="9999FF"/>
            </a:solidFill>
            <a:ln w="12700">
              <a:solidFill>
                <a:srgbClr val="000000"/>
              </a:solidFill>
              <a:prstDash val="solid"/>
            </a:ln>
          </c:spPr>
          <c:val>
            <c:numLit>
              <c:formatCode>General</c:formatCode>
              <c:ptCount val="1"/>
              <c:pt idx="0">
                <c:v>0</c:v>
              </c:pt>
            </c:numLit>
          </c:val>
        </c:ser>
        <c:ser>
          <c:idx val="1"/>
          <c:order val="1"/>
          <c:spPr>
            <a:solidFill>
              <a:srgbClr val="993366"/>
            </a:solidFill>
            <a:ln w="12700">
              <a:solidFill>
                <a:srgbClr val="000000"/>
              </a:solidFill>
              <a:prstDash val="solid"/>
            </a:ln>
          </c:spPr>
          <c:dLbls>
            <c:spPr>
              <a:noFill/>
              <a:ln w="25400">
                <a:noFill/>
              </a:ln>
            </c:spPr>
            <c:txPr>
              <a:bodyPr/>
              <a:lstStyle/>
              <a:p>
                <a:pPr>
                  <a:defRPr sz="800" b="1" i="0" u="none" strike="noStrike" baseline="0">
                    <a:solidFill>
                      <a:srgbClr val="000000"/>
                    </a:solidFill>
                    <a:latin typeface="Arial"/>
                    <a:ea typeface="Arial"/>
                    <a:cs typeface="Arial"/>
                  </a:defRPr>
                </a:pPr>
                <a:endParaRPr lang="nl-BE"/>
              </a:p>
            </c:txPr>
            <c:showLegendKey val="0"/>
            <c:showVal val="0"/>
            <c:showCatName val="1"/>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showLeaderLines val="0"/>
        </c:dLbls>
        <c:firstSliceAng val="270"/>
        <c:holeSize val="50"/>
      </c:doughnutChart>
      <c:spPr>
        <a:noFill/>
        <a:ln w="25400">
          <a:noFill/>
        </a:ln>
      </c:spPr>
    </c:plotArea>
    <c:plotVisOnly val="1"/>
    <c:dispBlanksAs val="zero"/>
    <c:showDLblsOverMax val="0"/>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nl-BE"/>
    </a:p>
  </c:txPr>
  <c:printSettings>
    <c:headerFooter alignWithMargins="0"/>
    <c:pageMargins b="0.98425196899999967" l="0.78740157499999996" r="0.78740157499999996" t="0.98425196899999967" header="0.49212598450000217" footer="0.49212598450000217"/>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nl-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Geneva"/>
                <a:ea typeface="Geneva"/>
                <a:cs typeface="Geneva"/>
              </a:defRPr>
            </a:pPr>
            <a:endParaRPr lang="fr-BE"/>
          </a:p>
        </c:rich>
      </c:tx>
      <c:overlay val="0"/>
      <c:spPr>
        <a:noFill/>
        <a:ln w="25400">
          <a:noFill/>
        </a:ln>
      </c:spPr>
    </c:title>
    <c:autoTitleDeleted val="0"/>
    <c:plotArea>
      <c:layout/>
      <c:doughnutChart>
        <c:varyColors val="1"/>
        <c:ser>
          <c:idx val="0"/>
          <c:order val="0"/>
          <c:spPr>
            <a:solidFill>
              <a:srgbClr val="9999FF"/>
            </a:solidFill>
            <a:ln w="12700">
              <a:solidFill>
                <a:srgbClr val="000000"/>
              </a:solidFill>
              <a:prstDash val="solid"/>
            </a:ln>
          </c:spPr>
          <c:val>
            <c:numLit>
              <c:formatCode>General</c:formatCode>
              <c:ptCount val="1"/>
              <c:pt idx="0">
                <c:v>0</c:v>
              </c:pt>
            </c:numLit>
          </c:val>
        </c:ser>
        <c:ser>
          <c:idx val="1"/>
          <c:order val="1"/>
          <c:spPr>
            <a:solidFill>
              <a:srgbClr val="993366"/>
            </a:solidFill>
            <a:ln w="12700">
              <a:solidFill>
                <a:srgbClr val="000000"/>
              </a:solidFill>
              <a:prstDash val="solid"/>
            </a:ln>
          </c:spPr>
          <c:dLbls>
            <c:spPr>
              <a:noFill/>
              <a:ln w="25400">
                <a:noFill/>
              </a:ln>
            </c:spPr>
            <c:txPr>
              <a:bodyPr/>
              <a:lstStyle/>
              <a:p>
                <a:pPr>
                  <a:defRPr sz="800" b="1" i="0" u="none" strike="noStrike" baseline="0">
                    <a:solidFill>
                      <a:srgbClr val="000000"/>
                    </a:solidFill>
                    <a:latin typeface="Arial"/>
                    <a:ea typeface="Arial"/>
                    <a:cs typeface="Arial"/>
                  </a:defRPr>
                </a:pPr>
                <a:endParaRPr lang="nl-BE"/>
              </a:p>
            </c:txPr>
            <c:showLegendKey val="0"/>
            <c:showVal val="0"/>
            <c:showCatName val="1"/>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showLeaderLines val="0"/>
        </c:dLbls>
        <c:firstSliceAng val="270"/>
        <c:holeSize val="50"/>
      </c:doughnutChart>
      <c:spPr>
        <a:noFill/>
        <a:ln w="25400">
          <a:noFill/>
        </a:ln>
      </c:spPr>
    </c:plotArea>
    <c:plotVisOnly val="1"/>
    <c:dispBlanksAs val="zero"/>
    <c:showDLblsOverMax val="0"/>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nl-BE"/>
    </a:p>
  </c:txPr>
  <c:printSettings>
    <c:headerFooter alignWithMargins="0"/>
    <c:pageMargins b="0.98425196899999967" l="0.78740157499999996" r="0.78740157499999996" t="0.98425196899999967" header="0.49212598450000217" footer="0.49212598450000217"/>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nl-BE"/>
              <a:t>Materialen, niveau terrein</a:t>
            </a:r>
          </a:p>
        </c:rich>
      </c:tx>
      <c:layout>
        <c:manualLayout>
          <c:xMode val="edge"/>
          <c:yMode val="edge"/>
          <c:x val="0.26887640449438216"/>
          <c:y val="0.6140906345051288"/>
        </c:manualLayout>
      </c:layout>
      <c:overlay val="1"/>
    </c:title>
    <c:autoTitleDeleted val="0"/>
    <c:plotArea>
      <c:layout>
        <c:manualLayout>
          <c:layoutTarget val="inner"/>
          <c:xMode val="edge"/>
          <c:yMode val="edge"/>
          <c:x val="0.12412279925683509"/>
          <c:y val="0.126183007090094"/>
          <c:w val="0.76685363767731862"/>
          <c:h val="0.86119869220090361"/>
        </c:manualLayout>
      </c:layout>
      <c:doughnutChart>
        <c:varyColors val="1"/>
        <c:ser>
          <c:idx val="1"/>
          <c:order val="0"/>
          <c:tx>
            <c:v>Variable</c:v>
          </c:tx>
          <c:spPr>
            <a:ln>
              <a:noFill/>
            </a:ln>
          </c:spPr>
          <c:dPt>
            <c:idx val="0"/>
            <c:bubble3D val="0"/>
            <c:spPr>
              <a:noFill/>
              <a:ln>
                <a:noFill/>
              </a:ln>
            </c:spPr>
          </c:dPt>
          <c:dPt>
            <c:idx val="1"/>
            <c:bubble3D val="0"/>
            <c:spPr>
              <a:solidFill>
                <a:schemeClr val="tx1"/>
              </a:solidFill>
              <a:ln>
                <a:solidFill>
                  <a:sysClr val="windowText" lastClr="000000"/>
                </a:solidFill>
              </a:ln>
            </c:spPr>
          </c:dPt>
          <c:dPt>
            <c:idx val="2"/>
            <c:bubble3D val="0"/>
            <c:spPr>
              <a:noFill/>
              <a:ln>
                <a:noFill/>
              </a:ln>
            </c:spPr>
          </c:dPt>
          <c:dPt>
            <c:idx val="5"/>
            <c:bubble3D val="0"/>
            <c:spPr>
              <a:noFill/>
              <a:ln>
                <a:noFill/>
              </a:ln>
            </c:spPr>
          </c:dPt>
          <c:cat>
            <c:numRef>
              <c:f>'3-Synthese'!$F$52:$F$57</c:f>
              <c:numCache>
                <c:formatCode>General</c:formatCode>
                <c:ptCount val="6"/>
                <c:pt idx="0">
                  <c:v>0</c:v>
                </c:pt>
                <c:pt idx="1">
                  <c:v>1</c:v>
                </c:pt>
                <c:pt idx="2">
                  <c:v>2</c:v>
                </c:pt>
                <c:pt idx="3">
                  <c:v>3</c:v>
                </c:pt>
                <c:pt idx="4">
                  <c:v>4</c:v>
                </c:pt>
                <c:pt idx="5">
                  <c:v>5</c:v>
                </c:pt>
              </c:numCache>
            </c:numRef>
          </c:cat>
          <c:val>
            <c:numRef>
              <c:f>'3-Synthese'!$K$52:$K$57</c:f>
              <c:numCache>
                <c:formatCode>0%</c:formatCode>
                <c:ptCount val="6"/>
                <c:pt idx="0">
                  <c:v>0.75</c:v>
                </c:pt>
                <c:pt idx="1">
                  <c:v>0.01</c:v>
                </c:pt>
                <c:pt idx="2">
                  <c:v>0.24</c:v>
                </c:pt>
                <c:pt idx="3">
                  <c:v>0</c:v>
                </c:pt>
                <c:pt idx="4">
                  <c:v>0</c:v>
                </c:pt>
                <c:pt idx="5">
                  <c:v>1</c:v>
                </c:pt>
              </c:numCache>
            </c:numRef>
          </c:val>
        </c:ser>
        <c:ser>
          <c:idx val="0"/>
          <c:order val="1"/>
          <c:tx>
            <c:v>Fixe</c:v>
          </c:tx>
          <c:spPr>
            <a:ln>
              <a:solidFill>
                <a:sysClr val="windowText" lastClr="000000">
                  <a:alpha val="50000"/>
                </a:sysClr>
              </a:solidFill>
            </a:ln>
          </c:spPr>
          <c:dPt>
            <c:idx val="1"/>
            <c:bubble3D val="0"/>
            <c:spPr>
              <a:gradFill flip="none" rotWithShape="1">
                <a:gsLst>
                  <a:gs pos="33000">
                    <a:srgbClr val="FFC000"/>
                  </a:gs>
                  <a:gs pos="100000">
                    <a:srgbClr val="FF0000"/>
                  </a:gs>
                </a:gsLst>
                <a:lin ang="7200000" scaled="0"/>
                <a:tileRect/>
              </a:gradFill>
              <a:ln>
                <a:solidFill>
                  <a:sysClr val="windowText" lastClr="000000">
                    <a:alpha val="50000"/>
                  </a:sysClr>
                </a:solidFill>
              </a:ln>
            </c:spPr>
          </c:dPt>
          <c:dPt>
            <c:idx val="2"/>
            <c:bubble3D val="0"/>
            <c:spPr>
              <a:gradFill flip="none" rotWithShape="1">
                <a:gsLst>
                  <a:gs pos="33000">
                    <a:srgbClr val="FFFF00"/>
                  </a:gs>
                  <a:gs pos="66000">
                    <a:srgbClr val="FFC000"/>
                  </a:gs>
                </a:gsLst>
                <a:lin ang="9600000" scaled="0"/>
                <a:tileRect/>
              </a:gradFill>
              <a:ln>
                <a:solidFill>
                  <a:sysClr val="windowText" lastClr="000000">
                    <a:alpha val="50000"/>
                  </a:sysClr>
                </a:solidFill>
              </a:ln>
            </c:spPr>
          </c:dPt>
          <c:dPt>
            <c:idx val="3"/>
            <c:bubble3D val="0"/>
            <c:spPr>
              <a:gradFill>
                <a:gsLst>
                  <a:gs pos="66000">
                    <a:srgbClr val="92D050"/>
                  </a:gs>
                  <a:gs pos="33000">
                    <a:srgbClr val="FFFF00"/>
                  </a:gs>
                </a:gsLst>
                <a:lin ang="1200000" scaled="0"/>
              </a:gradFill>
              <a:ln>
                <a:solidFill>
                  <a:sysClr val="windowText" lastClr="000000">
                    <a:alpha val="50000"/>
                  </a:sysClr>
                </a:solidFill>
              </a:ln>
            </c:spPr>
          </c:dPt>
          <c:dPt>
            <c:idx val="4"/>
            <c:bubble3D val="0"/>
            <c:spPr>
              <a:gradFill>
                <a:gsLst>
                  <a:gs pos="0">
                    <a:srgbClr val="00B050"/>
                  </a:gs>
                  <a:gs pos="66000">
                    <a:srgbClr val="92D050"/>
                  </a:gs>
                </a:gsLst>
                <a:lin ang="14400000" scaled="0"/>
              </a:gradFill>
              <a:ln>
                <a:solidFill>
                  <a:sysClr val="windowText" lastClr="000000">
                    <a:alpha val="50000"/>
                  </a:sysClr>
                </a:solidFill>
              </a:ln>
            </c:spPr>
          </c:dPt>
          <c:dPt>
            <c:idx val="5"/>
            <c:bubble3D val="0"/>
            <c:spPr>
              <a:noFill/>
              <a:ln>
                <a:noFill/>
              </a:ln>
            </c:spPr>
          </c:dPt>
          <c:dLbls>
            <c:dLbl>
              <c:idx val="0"/>
              <c:layout>
                <c:manualLayout>
                  <c:x val="-0.11985018726591802"/>
                  <c:y val="-8.4122004726729527E-3"/>
                </c:manualLayout>
              </c:layout>
              <c:showLegendKey val="0"/>
              <c:showVal val="0"/>
              <c:showCatName val="1"/>
              <c:showSerName val="0"/>
              <c:showPercent val="0"/>
              <c:showBubbleSize val="0"/>
            </c:dLbl>
            <c:dLbl>
              <c:idx val="1"/>
              <c:layout>
                <c:manualLayout>
                  <c:x val="-2.5436609749624115E-2"/>
                  <c:y val="-0.20456451296671194"/>
                </c:manualLayout>
              </c:layout>
              <c:showLegendKey val="0"/>
              <c:showVal val="0"/>
              <c:showCatName val="1"/>
              <c:showSerName val="0"/>
              <c:showPercent val="0"/>
              <c:showBubbleSize val="0"/>
            </c:dLbl>
            <c:dLbl>
              <c:idx val="2"/>
              <c:layout>
                <c:manualLayout>
                  <c:x val="0.11061606063286998"/>
                  <c:y val="-0.162373022139322"/>
                </c:manualLayout>
              </c:layout>
              <c:showLegendKey val="0"/>
              <c:showVal val="0"/>
              <c:showCatName val="1"/>
              <c:showSerName val="0"/>
              <c:showPercent val="0"/>
              <c:showBubbleSize val="0"/>
            </c:dLbl>
            <c:dLbl>
              <c:idx val="3"/>
              <c:layout>
                <c:manualLayout>
                  <c:x val="0.17912412633813993"/>
                  <c:y val="-2.5473732738429927E-2"/>
                </c:manualLayout>
              </c:layout>
              <c:showLegendKey val="0"/>
              <c:showVal val="0"/>
              <c:showCatName val="1"/>
              <c:showSerName val="0"/>
              <c:showPercent val="0"/>
              <c:showBubbleSize val="0"/>
            </c:dLbl>
            <c:dLbl>
              <c:idx val="4"/>
              <c:layout>
                <c:manualLayout>
                  <c:x val="0.14550237400100308"/>
                  <c:y val="0.10634313034539"/>
                </c:manualLayout>
              </c:layout>
              <c:showLegendKey val="0"/>
              <c:showVal val="0"/>
              <c:showCatName val="1"/>
              <c:showSerName val="0"/>
              <c:showPercent val="0"/>
              <c:showBubbleSize val="0"/>
            </c:dLbl>
            <c:dLbl>
              <c:idx val="5"/>
              <c:delete val="1"/>
            </c:dLbl>
            <c:txPr>
              <a:bodyPr/>
              <a:lstStyle/>
              <a:p>
                <a:pPr>
                  <a:defRPr sz="1200" b="1"/>
                </a:pPr>
                <a:endParaRPr lang="nl-BE"/>
              </a:p>
            </c:txPr>
            <c:showLegendKey val="0"/>
            <c:showVal val="0"/>
            <c:showCatName val="1"/>
            <c:showSerName val="0"/>
            <c:showPercent val="0"/>
            <c:showBubbleSize val="0"/>
            <c:showLeaderLines val="1"/>
          </c:dLbls>
          <c:cat>
            <c:numRef>
              <c:f>'3-Synthese'!$F$52:$F$57</c:f>
              <c:numCache>
                <c:formatCode>General</c:formatCode>
                <c:ptCount val="6"/>
                <c:pt idx="0">
                  <c:v>0</c:v>
                </c:pt>
                <c:pt idx="1">
                  <c:v>1</c:v>
                </c:pt>
                <c:pt idx="2">
                  <c:v>2</c:v>
                </c:pt>
                <c:pt idx="3">
                  <c:v>3</c:v>
                </c:pt>
                <c:pt idx="4">
                  <c:v>4</c:v>
                </c:pt>
                <c:pt idx="5">
                  <c:v>5</c:v>
                </c:pt>
              </c:numCache>
            </c:numRef>
          </c:cat>
          <c:val>
            <c:numRef>
              <c:f>'3-Synthese'!$G$52:$G$57</c:f>
              <c:numCache>
                <c:formatCode>General</c:formatCode>
                <c:ptCount val="6"/>
                <c:pt idx="0">
                  <c:v>0</c:v>
                </c:pt>
                <c:pt idx="1">
                  <c:v>25</c:v>
                </c:pt>
                <c:pt idx="2">
                  <c:v>25</c:v>
                </c:pt>
                <c:pt idx="3">
                  <c:v>25</c:v>
                </c:pt>
                <c:pt idx="4">
                  <c:v>25</c:v>
                </c:pt>
                <c:pt idx="5">
                  <c:v>100</c:v>
                </c:pt>
              </c:numCache>
            </c:numRef>
          </c:val>
        </c:ser>
        <c:dLbls>
          <c:showLegendKey val="0"/>
          <c:showVal val="0"/>
          <c:showCatName val="0"/>
          <c:showSerName val="0"/>
          <c:showPercent val="0"/>
          <c:showBubbleSize val="0"/>
          <c:showLeaderLines val="1"/>
        </c:dLbls>
        <c:firstSliceAng val="270"/>
        <c:holeSize val="10"/>
      </c:doughnutChart>
    </c:plotArea>
    <c:plotVisOnly val="1"/>
    <c:dispBlanksAs val="zero"/>
    <c:showDLblsOverMax val="0"/>
  </c:chart>
  <c:spPr>
    <a:ln>
      <a:noFill/>
    </a:ln>
  </c:spPr>
  <c:printSettings>
    <c:headerFooter/>
    <c:pageMargins b="0.75000000000000333" l="0.70000000000000129" r="0.70000000000000129" t="0.75000000000000333" header="0.30000000000000016" footer="0.30000000000000016"/>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nl-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Geneva"/>
                <a:ea typeface="Geneva"/>
                <a:cs typeface="Geneva"/>
              </a:defRPr>
            </a:pPr>
            <a:endParaRPr lang="fr-BE"/>
          </a:p>
        </c:rich>
      </c:tx>
      <c:overlay val="0"/>
      <c:spPr>
        <a:noFill/>
        <a:ln w="25400">
          <a:noFill/>
        </a:ln>
      </c:spPr>
    </c:title>
    <c:autoTitleDeleted val="0"/>
    <c:plotArea>
      <c:layout/>
      <c:doughnutChart>
        <c:varyColors val="1"/>
        <c:ser>
          <c:idx val="0"/>
          <c:order val="0"/>
          <c:spPr>
            <a:solidFill>
              <a:srgbClr val="9999FF"/>
            </a:solidFill>
            <a:ln w="12700">
              <a:solidFill>
                <a:srgbClr val="000000"/>
              </a:solidFill>
              <a:prstDash val="solid"/>
            </a:ln>
          </c:spPr>
          <c:val>
            <c:numLit>
              <c:formatCode>General</c:formatCode>
              <c:ptCount val="1"/>
              <c:pt idx="0">
                <c:v>0</c:v>
              </c:pt>
            </c:numLit>
          </c:val>
        </c:ser>
        <c:ser>
          <c:idx val="1"/>
          <c:order val="1"/>
          <c:spPr>
            <a:solidFill>
              <a:srgbClr val="993366"/>
            </a:solidFill>
            <a:ln w="12700">
              <a:solidFill>
                <a:srgbClr val="000000"/>
              </a:solidFill>
              <a:prstDash val="solid"/>
            </a:ln>
          </c:spPr>
          <c:dLbls>
            <c:spPr>
              <a:noFill/>
              <a:ln w="25400">
                <a:noFill/>
              </a:ln>
            </c:spPr>
            <c:txPr>
              <a:bodyPr/>
              <a:lstStyle/>
              <a:p>
                <a:pPr>
                  <a:defRPr sz="800" b="1" i="0" u="none" strike="noStrike" baseline="0">
                    <a:solidFill>
                      <a:srgbClr val="000000"/>
                    </a:solidFill>
                    <a:latin typeface="Arial"/>
                    <a:ea typeface="Arial"/>
                    <a:cs typeface="Arial"/>
                  </a:defRPr>
                </a:pPr>
                <a:endParaRPr lang="nl-BE"/>
              </a:p>
            </c:txPr>
            <c:showLegendKey val="0"/>
            <c:showVal val="0"/>
            <c:showCatName val="1"/>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showLeaderLines val="0"/>
        </c:dLbls>
        <c:firstSliceAng val="270"/>
        <c:holeSize val="50"/>
      </c:doughnutChart>
      <c:spPr>
        <a:noFill/>
        <a:ln w="25400">
          <a:noFill/>
        </a:ln>
      </c:spPr>
    </c:plotArea>
    <c:plotVisOnly val="1"/>
    <c:dispBlanksAs val="zero"/>
    <c:showDLblsOverMax val="0"/>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nl-BE"/>
    </a:p>
  </c:txPr>
  <c:printSettings>
    <c:headerFooter alignWithMargins="0"/>
    <c:pageMargins b="0.98425196899999967" l="0.78740157499999996" r="0.78740157499999996" t="0.98425196899999967" header="0.49212598450000217" footer="0.49212598450000217"/>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nl-B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'5-Tool Mobiliteit A'!$S$137</c:f>
          <c:strCache>
            <c:ptCount val="1"/>
            <c:pt idx="0">
              <c:v>Emission de 0 tonnes eqCO2</c:v>
            </c:pt>
          </c:strCache>
        </c:strRef>
      </c:tx>
      <c:layout>
        <c:manualLayout>
          <c:xMode val="edge"/>
          <c:yMode val="edge"/>
          <c:x val="0.28125"/>
          <c:y val="0.66555183946488983"/>
        </c:manualLayout>
      </c:layout>
      <c:overlay val="0"/>
      <c:spPr>
        <a:noFill/>
        <a:ln w="25400">
          <a:noFill/>
        </a:ln>
      </c:spPr>
      <c:txPr>
        <a:bodyPr/>
        <a:lstStyle/>
        <a:p>
          <a:pPr>
            <a:defRPr sz="800" b="1" i="0" u="none" strike="noStrike" baseline="0">
              <a:solidFill>
                <a:srgbClr val="900000"/>
              </a:solidFill>
              <a:latin typeface="Arial"/>
              <a:ea typeface="Arial"/>
              <a:cs typeface="Arial"/>
            </a:defRPr>
          </a:pPr>
          <a:endParaRPr lang="nl-BE"/>
        </a:p>
      </c:txPr>
    </c:title>
    <c:autoTitleDeleted val="0"/>
    <c:plotArea>
      <c:layout>
        <c:manualLayout>
          <c:layoutTarget val="inner"/>
          <c:xMode val="edge"/>
          <c:yMode val="edge"/>
          <c:x val="9.6875000000000044E-2"/>
          <c:y val="4.6822742474916405E-2"/>
          <c:w val="0.84687500000000449"/>
          <c:h val="0.90635451505016673"/>
        </c:manualLayout>
      </c:layout>
      <c:doughnutChart>
        <c:varyColors val="1"/>
        <c:ser>
          <c:idx val="0"/>
          <c:order val="0"/>
          <c:spPr>
            <a:solidFill>
              <a:srgbClr val="9999FF"/>
            </a:solidFill>
            <a:ln w="3175">
              <a:solidFill>
                <a:srgbClr val="000000"/>
              </a:solidFill>
              <a:prstDash val="solid"/>
            </a:ln>
          </c:spPr>
          <c:cat>
            <c:numRef>
              <c:f>'5-Tool Mobiliteit A'!$V$130:$V$134</c:f>
              <c:numCache>
                <c:formatCode>General</c:formatCode>
                <c:ptCount val="5"/>
                <c:pt idx="0">
                  <c:v>0</c:v>
                </c:pt>
                <c:pt idx="1">
                  <c:v>1</c:v>
                </c:pt>
                <c:pt idx="2">
                  <c:v>2</c:v>
                </c:pt>
                <c:pt idx="3">
                  <c:v>3</c:v>
                </c:pt>
                <c:pt idx="4">
                  <c:v>4</c:v>
                </c:pt>
              </c:numCache>
            </c:numRef>
          </c:cat>
          <c:val>
            <c:numRef>
              <c:f>('5-Tool Mobiliteit A'!$S$130:$S$133,'5-Tool Mobiliteit A'!$S$138)</c:f>
              <c:numCache>
                <c:formatCode>0%</c:formatCode>
                <c:ptCount val="5"/>
                <c:pt idx="0">
                  <c:v>0</c:v>
                </c:pt>
                <c:pt idx="1">
                  <c:v>1</c:v>
                </c:pt>
                <c:pt idx="2">
                  <c:v>0.5</c:v>
                </c:pt>
                <c:pt idx="3">
                  <c:v>0.5</c:v>
                </c:pt>
                <c:pt idx="4" formatCode="General">
                  <c:v>0</c:v>
                </c:pt>
              </c:numCache>
            </c:numRef>
          </c:val>
        </c:ser>
        <c:ser>
          <c:idx val="1"/>
          <c:order val="1"/>
          <c:spPr>
            <a:solidFill>
              <a:srgbClr val="993366"/>
            </a:solidFill>
            <a:ln w="12700">
              <a:solidFill>
                <a:srgbClr val="000000"/>
              </a:solidFill>
              <a:prstDash val="solid"/>
            </a:ln>
          </c:spPr>
          <c:dLbls>
            <c:spPr>
              <a:noFill/>
              <a:ln w="25400">
                <a:noFill/>
              </a:ln>
            </c:spPr>
            <c:txPr>
              <a:bodyPr/>
              <a:lstStyle/>
              <a:p>
                <a:pPr>
                  <a:defRPr sz="800" b="1" i="0" u="none" strike="noStrike" baseline="0">
                    <a:solidFill>
                      <a:srgbClr val="000000"/>
                    </a:solidFill>
                    <a:latin typeface="Arial"/>
                    <a:ea typeface="Arial"/>
                    <a:cs typeface="Arial"/>
                  </a:defRPr>
                </a:pPr>
                <a:endParaRPr lang="nl-BE"/>
              </a:p>
            </c:txPr>
            <c:showLegendKey val="0"/>
            <c:showVal val="0"/>
            <c:showCatName val="1"/>
            <c:showSerName val="0"/>
            <c:showPercent val="0"/>
            <c:showBubbleSize val="0"/>
            <c:showLeaderLines val="0"/>
          </c:dLbls>
          <c:cat>
            <c:numRef>
              <c:f>'5-Tool Mobiliteit A'!$V$130:$V$134</c:f>
              <c:numCache>
                <c:formatCode>General</c:formatCode>
                <c:ptCount val="5"/>
                <c:pt idx="0">
                  <c:v>0</c:v>
                </c:pt>
                <c:pt idx="1">
                  <c:v>1</c:v>
                </c:pt>
                <c:pt idx="2">
                  <c:v>2</c:v>
                </c:pt>
                <c:pt idx="3">
                  <c:v>3</c:v>
                </c:pt>
                <c:pt idx="4">
                  <c:v>4</c:v>
                </c:pt>
              </c:numCache>
            </c:numRef>
          </c:cat>
          <c:val>
            <c:numRef>
              <c:f>'5-Tool Mobiliteit A'!$X$130:$X$134</c:f>
              <c:numCache>
                <c:formatCode>0.00</c:formatCode>
                <c:ptCount val="5"/>
                <c:pt idx="0">
                  <c:v>25</c:v>
                </c:pt>
                <c:pt idx="1">
                  <c:v>25</c:v>
                </c:pt>
                <c:pt idx="2">
                  <c:v>25</c:v>
                </c:pt>
                <c:pt idx="3">
                  <c:v>25</c:v>
                </c:pt>
                <c:pt idx="4">
                  <c:v>100</c:v>
                </c:pt>
              </c:numCache>
            </c:numRef>
          </c:val>
        </c:ser>
        <c:dLbls>
          <c:showLegendKey val="0"/>
          <c:showVal val="0"/>
          <c:showCatName val="0"/>
          <c:showSerName val="0"/>
          <c:showPercent val="0"/>
          <c:showBubbleSize val="0"/>
          <c:showLeaderLines val="0"/>
        </c:dLbls>
        <c:firstSliceAng val="270"/>
        <c:holeSize val="50"/>
      </c:doughnutChart>
      <c:spPr>
        <a:noFill/>
        <a:ln w="25400">
          <a:noFill/>
        </a:ln>
      </c:spPr>
    </c:plotArea>
    <c:plotVisOnly val="1"/>
    <c:dispBlanksAs val="zero"/>
    <c:showDLblsOverMax val="0"/>
  </c:chart>
  <c:spPr>
    <a:solidFill>
      <a:srgbClr val="FFFFFF"/>
    </a:solidFill>
    <a:ln w="9525">
      <a:noFill/>
    </a:ln>
  </c:spPr>
  <c:txPr>
    <a:bodyPr/>
    <a:lstStyle/>
    <a:p>
      <a:pPr>
        <a:defRPr sz="300" b="0" i="0" u="none" strike="noStrike" baseline="0">
          <a:solidFill>
            <a:srgbClr val="000000"/>
          </a:solidFill>
          <a:latin typeface="Arial"/>
          <a:ea typeface="Arial"/>
          <a:cs typeface="Arial"/>
        </a:defRPr>
      </a:pPr>
      <a:endParaRPr lang="nl-BE"/>
    </a:p>
  </c:txPr>
  <c:printSettings>
    <c:headerFooter alignWithMargins="0"/>
    <c:pageMargins b="0.98425196899999967" l="0.78740157499999996" r="0.78740157499999996" t="0.98425196899999967" header="0.49212598450000117" footer="0.49212598450000117"/>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a:t>Mobiliteit, niveau bedrijf </a:t>
            </a:r>
          </a:p>
        </c:rich>
      </c:tx>
      <c:layout>
        <c:manualLayout>
          <c:xMode val="edge"/>
          <c:yMode val="edge"/>
          <c:x val="0.26887640449438216"/>
          <c:y val="0.61409063450513379"/>
        </c:manualLayout>
      </c:layout>
      <c:overlay val="1"/>
    </c:title>
    <c:autoTitleDeleted val="0"/>
    <c:plotArea>
      <c:layout>
        <c:manualLayout>
          <c:layoutTarget val="inner"/>
          <c:xMode val="edge"/>
          <c:yMode val="edge"/>
          <c:x val="0.12412279925683609"/>
          <c:y val="0.126183007090094"/>
          <c:w val="0.76685363767731962"/>
          <c:h val="0.86119869220090461"/>
        </c:manualLayout>
      </c:layout>
      <c:doughnutChart>
        <c:varyColors val="1"/>
        <c:ser>
          <c:idx val="1"/>
          <c:order val="0"/>
          <c:tx>
            <c:v>Variable</c:v>
          </c:tx>
          <c:spPr>
            <a:ln>
              <a:noFill/>
            </a:ln>
          </c:spPr>
          <c:dPt>
            <c:idx val="0"/>
            <c:bubble3D val="0"/>
            <c:spPr>
              <a:noFill/>
              <a:ln>
                <a:noFill/>
              </a:ln>
            </c:spPr>
          </c:dPt>
          <c:dPt>
            <c:idx val="1"/>
            <c:bubble3D val="0"/>
            <c:spPr>
              <a:solidFill>
                <a:schemeClr val="tx1"/>
              </a:solidFill>
              <a:ln>
                <a:solidFill>
                  <a:sysClr val="windowText" lastClr="000000"/>
                </a:solidFill>
              </a:ln>
            </c:spPr>
          </c:dPt>
          <c:dPt>
            <c:idx val="2"/>
            <c:bubble3D val="0"/>
            <c:spPr>
              <a:noFill/>
              <a:ln>
                <a:noFill/>
              </a:ln>
            </c:spPr>
          </c:dPt>
          <c:dPt>
            <c:idx val="5"/>
            <c:bubble3D val="0"/>
            <c:spPr>
              <a:noFill/>
              <a:ln>
                <a:noFill/>
              </a:ln>
            </c:spPr>
          </c:dPt>
          <c:cat>
            <c:numRef>
              <c:f>'3-Synthese'!$F$52:$F$57</c:f>
              <c:numCache>
                <c:formatCode>General</c:formatCode>
                <c:ptCount val="6"/>
                <c:pt idx="0">
                  <c:v>0</c:v>
                </c:pt>
                <c:pt idx="1">
                  <c:v>1</c:v>
                </c:pt>
                <c:pt idx="2">
                  <c:v>2</c:v>
                </c:pt>
                <c:pt idx="3">
                  <c:v>3</c:v>
                </c:pt>
                <c:pt idx="4">
                  <c:v>4</c:v>
                </c:pt>
                <c:pt idx="5">
                  <c:v>5</c:v>
                </c:pt>
              </c:numCache>
            </c:numRef>
          </c:cat>
          <c:val>
            <c:numRef>
              <c:f>'3-Synthese'!$L$52:$L$57</c:f>
              <c:numCache>
                <c:formatCode>0%</c:formatCode>
                <c:ptCount val="6"/>
                <c:pt idx="0">
                  <c:v>0</c:v>
                </c:pt>
                <c:pt idx="1">
                  <c:v>0.01</c:v>
                </c:pt>
                <c:pt idx="2">
                  <c:v>0.99</c:v>
                </c:pt>
                <c:pt idx="3">
                  <c:v>0</c:v>
                </c:pt>
                <c:pt idx="4">
                  <c:v>0</c:v>
                </c:pt>
                <c:pt idx="5">
                  <c:v>1</c:v>
                </c:pt>
              </c:numCache>
            </c:numRef>
          </c:val>
        </c:ser>
        <c:ser>
          <c:idx val="0"/>
          <c:order val="1"/>
          <c:tx>
            <c:v>Fixe</c:v>
          </c:tx>
          <c:spPr>
            <a:ln>
              <a:solidFill>
                <a:sysClr val="windowText" lastClr="000000">
                  <a:alpha val="50000"/>
                </a:sysClr>
              </a:solidFill>
            </a:ln>
          </c:spPr>
          <c:dPt>
            <c:idx val="1"/>
            <c:bubble3D val="0"/>
            <c:spPr>
              <a:gradFill flip="none" rotWithShape="1">
                <a:gsLst>
                  <a:gs pos="33000">
                    <a:srgbClr val="FFC000"/>
                  </a:gs>
                  <a:gs pos="100000">
                    <a:srgbClr val="FF0000"/>
                  </a:gs>
                </a:gsLst>
                <a:lin ang="7200000" scaled="0"/>
                <a:tileRect/>
              </a:gradFill>
              <a:ln>
                <a:solidFill>
                  <a:sysClr val="windowText" lastClr="000000">
                    <a:alpha val="50000"/>
                  </a:sysClr>
                </a:solidFill>
              </a:ln>
            </c:spPr>
          </c:dPt>
          <c:dPt>
            <c:idx val="2"/>
            <c:bubble3D val="0"/>
            <c:spPr>
              <a:gradFill flip="none" rotWithShape="1">
                <a:gsLst>
                  <a:gs pos="33000">
                    <a:srgbClr val="FFFF00"/>
                  </a:gs>
                  <a:gs pos="66000">
                    <a:srgbClr val="FFC000"/>
                  </a:gs>
                </a:gsLst>
                <a:lin ang="9600000" scaled="0"/>
                <a:tileRect/>
              </a:gradFill>
              <a:ln>
                <a:solidFill>
                  <a:sysClr val="windowText" lastClr="000000">
                    <a:alpha val="50000"/>
                  </a:sysClr>
                </a:solidFill>
              </a:ln>
            </c:spPr>
          </c:dPt>
          <c:dPt>
            <c:idx val="3"/>
            <c:bubble3D val="0"/>
            <c:spPr>
              <a:gradFill>
                <a:gsLst>
                  <a:gs pos="66000">
                    <a:srgbClr val="92D050"/>
                  </a:gs>
                  <a:gs pos="33000">
                    <a:srgbClr val="FFFF00"/>
                  </a:gs>
                </a:gsLst>
                <a:lin ang="1200000" scaled="0"/>
              </a:gradFill>
              <a:ln>
                <a:solidFill>
                  <a:sysClr val="windowText" lastClr="000000">
                    <a:alpha val="50000"/>
                  </a:sysClr>
                </a:solidFill>
              </a:ln>
            </c:spPr>
          </c:dPt>
          <c:dPt>
            <c:idx val="4"/>
            <c:bubble3D val="0"/>
            <c:spPr>
              <a:gradFill>
                <a:gsLst>
                  <a:gs pos="0">
                    <a:srgbClr val="00B050"/>
                  </a:gs>
                  <a:gs pos="66000">
                    <a:srgbClr val="92D050"/>
                  </a:gs>
                </a:gsLst>
                <a:lin ang="14400000" scaled="0"/>
              </a:gradFill>
              <a:ln>
                <a:solidFill>
                  <a:sysClr val="windowText" lastClr="000000">
                    <a:alpha val="50000"/>
                  </a:sysClr>
                </a:solidFill>
              </a:ln>
            </c:spPr>
          </c:dPt>
          <c:dPt>
            <c:idx val="5"/>
            <c:bubble3D val="0"/>
            <c:spPr>
              <a:noFill/>
              <a:ln>
                <a:noFill/>
              </a:ln>
            </c:spPr>
          </c:dPt>
          <c:dLbls>
            <c:dLbl>
              <c:idx val="0"/>
              <c:layout>
                <c:manualLayout>
                  <c:x val="-0.11985018726591802"/>
                  <c:y val="-8.4122004726729527E-3"/>
                </c:manualLayout>
              </c:layout>
              <c:showLegendKey val="0"/>
              <c:showVal val="0"/>
              <c:showCatName val="1"/>
              <c:showSerName val="0"/>
              <c:showPercent val="0"/>
              <c:showBubbleSize val="0"/>
            </c:dLbl>
            <c:dLbl>
              <c:idx val="1"/>
              <c:layout>
                <c:manualLayout>
                  <c:x val="-2.5436609749624115E-2"/>
                  <c:y val="-0.20456451296671194"/>
                </c:manualLayout>
              </c:layout>
              <c:showLegendKey val="0"/>
              <c:showVal val="0"/>
              <c:showCatName val="1"/>
              <c:showSerName val="0"/>
              <c:showPercent val="0"/>
              <c:showBubbleSize val="0"/>
            </c:dLbl>
            <c:dLbl>
              <c:idx val="2"/>
              <c:layout>
                <c:manualLayout>
                  <c:x val="0.11061606063286998"/>
                  <c:y val="-0.162373022139322"/>
                </c:manualLayout>
              </c:layout>
              <c:showLegendKey val="0"/>
              <c:showVal val="0"/>
              <c:showCatName val="1"/>
              <c:showSerName val="0"/>
              <c:showPercent val="0"/>
              <c:showBubbleSize val="0"/>
            </c:dLbl>
            <c:dLbl>
              <c:idx val="3"/>
              <c:layout>
                <c:manualLayout>
                  <c:x val="0.17912412633813993"/>
                  <c:y val="-2.5473732738430014E-2"/>
                </c:manualLayout>
              </c:layout>
              <c:showLegendKey val="0"/>
              <c:showVal val="0"/>
              <c:showCatName val="1"/>
              <c:showSerName val="0"/>
              <c:showPercent val="0"/>
              <c:showBubbleSize val="0"/>
            </c:dLbl>
            <c:dLbl>
              <c:idx val="4"/>
              <c:layout>
                <c:manualLayout>
                  <c:x val="0.14550237400100308"/>
                  <c:y val="0.10634313034539"/>
                </c:manualLayout>
              </c:layout>
              <c:showLegendKey val="0"/>
              <c:showVal val="0"/>
              <c:showCatName val="1"/>
              <c:showSerName val="0"/>
              <c:showPercent val="0"/>
              <c:showBubbleSize val="0"/>
            </c:dLbl>
            <c:dLbl>
              <c:idx val="5"/>
              <c:delete val="1"/>
            </c:dLbl>
            <c:txPr>
              <a:bodyPr/>
              <a:lstStyle/>
              <a:p>
                <a:pPr>
                  <a:defRPr sz="1200" b="1"/>
                </a:pPr>
                <a:endParaRPr lang="nl-BE"/>
              </a:p>
            </c:txPr>
            <c:showLegendKey val="0"/>
            <c:showVal val="0"/>
            <c:showCatName val="1"/>
            <c:showSerName val="0"/>
            <c:showPercent val="0"/>
            <c:showBubbleSize val="0"/>
            <c:showLeaderLines val="1"/>
          </c:dLbls>
          <c:cat>
            <c:numRef>
              <c:f>'3-Synthese'!$F$52:$F$57</c:f>
              <c:numCache>
                <c:formatCode>General</c:formatCode>
                <c:ptCount val="6"/>
                <c:pt idx="0">
                  <c:v>0</c:v>
                </c:pt>
                <c:pt idx="1">
                  <c:v>1</c:v>
                </c:pt>
                <c:pt idx="2">
                  <c:v>2</c:v>
                </c:pt>
                <c:pt idx="3">
                  <c:v>3</c:v>
                </c:pt>
                <c:pt idx="4">
                  <c:v>4</c:v>
                </c:pt>
                <c:pt idx="5">
                  <c:v>5</c:v>
                </c:pt>
              </c:numCache>
            </c:numRef>
          </c:cat>
          <c:val>
            <c:numRef>
              <c:f>'3-Synthese'!$G$52:$G$57</c:f>
              <c:numCache>
                <c:formatCode>General</c:formatCode>
                <c:ptCount val="6"/>
                <c:pt idx="0">
                  <c:v>0</c:v>
                </c:pt>
                <c:pt idx="1">
                  <c:v>25</c:v>
                </c:pt>
                <c:pt idx="2">
                  <c:v>25</c:v>
                </c:pt>
                <c:pt idx="3">
                  <c:v>25</c:v>
                </c:pt>
                <c:pt idx="4">
                  <c:v>25</c:v>
                </c:pt>
                <c:pt idx="5">
                  <c:v>100</c:v>
                </c:pt>
              </c:numCache>
            </c:numRef>
          </c:val>
        </c:ser>
        <c:dLbls>
          <c:showLegendKey val="0"/>
          <c:showVal val="0"/>
          <c:showCatName val="0"/>
          <c:showSerName val="0"/>
          <c:showPercent val="0"/>
          <c:showBubbleSize val="0"/>
          <c:showLeaderLines val="1"/>
        </c:dLbls>
        <c:firstSliceAng val="270"/>
        <c:holeSize val="10"/>
      </c:doughnutChart>
    </c:plotArea>
    <c:plotVisOnly val="1"/>
    <c:dispBlanksAs val="zero"/>
    <c:showDLblsOverMax val="0"/>
  </c:chart>
  <c:spPr>
    <a:ln>
      <a:noFill/>
    </a:ln>
  </c:spPr>
  <c:printSettings>
    <c:headerFooter/>
    <c:pageMargins b="0.75000000000000433" l="0.70000000000000129" r="0.70000000000000129" t="0.750000000000004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nl-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1" i="0" u="none" strike="noStrike" baseline="0">
                <a:effectLst/>
              </a:rPr>
              <a:t>Mobiliteit, niveau terrein</a:t>
            </a:r>
          </a:p>
        </c:rich>
      </c:tx>
      <c:layout>
        <c:manualLayout>
          <c:xMode val="edge"/>
          <c:yMode val="edge"/>
          <c:x val="0.23891385767790416"/>
          <c:y val="0.61409063450513079"/>
        </c:manualLayout>
      </c:layout>
      <c:overlay val="1"/>
    </c:title>
    <c:autoTitleDeleted val="0"/>
    <c:plotArea>
      <c:layout>
        <c:manualLayout>
          <c:layoutTarget val="inner"/>
          <c:xMode val="edge"/>
          <c:yMode val="edge"/>
          <c:x val="0.12412279925683609"/>
          <c:y val="0.126183007090094"/>
          <c:w val="0.76685363767731962"/>
          <c:h val="0.86119869220090461"/>
        </c:manualLayout>
      </c:layout>
      <c:doughnutChart>
        <c:varyColors val="1"/>
        <c:ser>
          <c:idx val="1"/>
          <c:order val="0"/>
          <c:tx>
            <c:v>Variable</c:v>
          </c:tx>
          <c:spPr>
            <a:ln>
              <a:noFill/>
            </a:ln>
          </c:spPr>
          <c:dPt>
            <c:idx val="0"/>
            <c:bubble3D val="0"/>
            <c:spPr>
              <a:noFill/>
              <a:ln>
                <a:noFill/>
              </a:ln>
            </c:spPr>
          </c:dPt>
          <c:dPt>
            <c:idx val="1"/>
            <c:bubble3D val="0"/>
            <c:spPr>
              <a:solidFill>
                <a:schemeClr val="tx1"/>
              </a:solidFill>
              <a:ln>
                <a:solidFill>
                  <a:sysClr val="windowText" lastClr="000000"/>
                </a:solidFill>
              </a:ln>
            </c:spPr>
          </c:dPt>
          <c:dPt>
            <c:idx val="2"/>
            <c:bubble3D val="0"/>
            <c:spPr>
              <a:noFill/>
              <a:ln>
                <a:noFill/>
              </a:ln>
            </c:spPr>
          </c:dPt>
          <c:dPt>
            <c:idx val="5"/>
            <c:bubble3D val="0"/>
            <c:spPr>
              <a:noFill/>
              <a:ln>
                <a:noFill/>
              </a:ln>
            </c:spPr>
          </c:dPt>
          <c:cat>
            <c:numRef>
              <c:f>'3-Synthese'!$F$52:$F$57</c:f>
              <c:numCache>
                <c:formatCode>General</c:formatCode>
                <c:ptCount val="6"/>
                <c:pt idx="0">
                  <c:v>0</c:v>
                </c:pt>
                <c:pt idx="1">
                  <c:v>1</c:v>
                </c:pt>
                <c:pt idx="2">
                  <c:v>2</c:v>
                </c:pt>
                <c:pt idx="3">
                  <c:v>3</c:v>
                </c:pt>
                <c:pt idx="4">
                  <c:v>4</c:v>
                </c:pt>
                <c:pt idx="5">
                  <c:v>5</c:v>
                </c:pt>
              </c:numCache>
            </c:numRef>
          </c:cat>
          <c:val>
            <c:numRef>
              <c:f>'3-Synthese'!$M$52:$M$57</c:f>
              <c:numCache>
                <c:formatCode>0%</c:formatCode>
                <c:ptCount val="6"/>
                <c:pt idx="0">
                  <c:v>0</c:v>
                </c:pt>
                <c:pt idx="1">
                  <c:v>0.01</c:v>
                </c:pt>
                <c:pt idx="2">
                  <c:v>0.99</c:v>
                </c:pt>
                <c:pt idx="3">
                  <c:v>0</c:v>
                </c:pt>
                <c:pt idx="4">
                  <c:v>0</c:v>
                </c:pt>
                <c:pt idx="5">
                  <c:v>1</c:v>
                </c:pt>
              </c:numCache>
            </c:numRef>
          </c:val>
        </c:ser>
        <c:ser>
          <c:idx val="0"/>
          <c:order val="1"/>
          <c:tx>
            <c:v>Fixe</c:v>
          </c:tx>
          <c:spPr>
            <a:ln>
              <a:solidFill>
                <a:sysClr val="windowText" lastClr="000000">
                  <a:alpha val="50000"/>
                </a:sysClr>
              </a:solidFill>
            </a:ln>
          </c:spPr>
          <c:dPt>
            <c:idx val="1"/>
            <c:bubble3D val="0"/>
            <c:spPr>
              <a:gradFill flip="none" rotWithShape="1">
                <a:gsLst>
                  <a:gs pos="33000">
                    <a:srgbClr val="FFC000"/>
                  </a:gs>
                  <a:gs pos="100000">
                    <a:srgbClr val="FF0000"/>
                  </a:gs>
                </a:gsLst>
                <a:lin ang="7200000" scaled="0"/>
                <a:tileRect/>
              </a:gradFill>
              <a:ln>
                <a:solidFill>
                  <a:sysClr val="windowText" lastClr="000000">
                    <a:alpha val="50000"/>
                  </a:sysClr>
                </a:solidFill>
              </a:ln>
            </c:spPr>
          </c:dPt>
          <c:dPt>
            <c:idx val="2"/>
            <c:bubble3D val="0"/>
            <c:spPr>
              <a:gradFill flip="none" rotWithShape="1">
                <a:gsLst>
                  <a:gs pos="33000">
                    <a:srgbClr val="FFFF00"/>
                  </a:gs>
                  <a:gs pos="66000">
                    <a:srgbClr val="FFC000"/>
                  </a:gs>
                </a:gsLst>
                <a:lin ang="9600000" scaled="0"/>
                <a:tileRect/>
              </a:gradFill>
              <a:ln>
                <a:solidFill>
                  <a:sysClr val="windowText" lastClr="000000">
                    <a:alpha val="50000"/>
                  </a:sysClr>
                </a:solidFill>
              </a:ln>
            </c:spPr>
          </c:dPt>
          <c:dPt>
            <c:idx val="3"/>
            <c:bubble3D val="0"/>
            <c:spPr>
              <a:gradFill>
                <a:gsLst>
                  <a:gs pos="66000">
                    <a:srgbClr val="92D050"/>
                  </a:gs>
                  <a:gs pos="33000">
                    <a:srgbClr val="FFFF00"/>
                  </a:gs>
                </a:gsLst>
                <a:lin ang="1200000" scaled="0"/>
              </a:gradFill>
              <a:ln>
                <a:solidFill>
                  <a:sysClr val="windowText" lastClr="000000">
                    <a:alpha val="50000"/>
                  </a:sysClr>
                </a:solidFill>
              </a:ln>
            </c:spPr>
          </c:dPt>
          <c:dPt>
            <c:idx val="4"/>
            <c:bubble3D val="0"/>
            <c:spPr>
              <a:gradFill>
                <a:gsLst>
                  <a:gs pos="0">
                    <a:srgbClr val="00B050"/>
                  </a:gs>
                  <a:gs pos="66000">
                    <a:srgbClr val="92D050"/>
                  </a:gs>
                </a:gsLst>
                <a:lin ang="14400000" scaled="0"/>
              </a:gradFill>
              <a:ln>
                <a:solidFill>
                  <a:sysClr val="windowText" lastClr="000000">
                    <a:alpha val="50000"/>
                  </a:sysClr>
                </a:solidFill>
              </a:ln>
            </c:spPr>
          </c:dPt>
          <c:dPt>
            <c:idx val="5"/>
            <c:bubble3D val="0"/>
            <c:spPr>
              <a:noFill/>
              <a:ln>
                <a:noFill/>
              </a:ln>
            </c:spPr>
          </c:dPt>
          <c:dLbls>
            <c:dLbl>
              <c:idx val="0"/>
              <c:layout>
                <c:manualLayout>
                  <c:x val="-0.11985018726591802"/>
                  <c:y val="-8.4122004726729527E-3"/>
                </c:manualLayout>
              </c:layout>
              <c:showLegendKey val="0"/>
              <c:showVal val="0"/>
              <c:showCatName val="1"/>
              <c:showSerName val="0"/>
              <c:showPercent val="0"/>
              <c:showBubbleSize val="0"/>
            </c:dLbl>
            <c:dLbl>
              <c:idx val="1"/>
              <c:layout>
                <c:manualLayout>
                  <c:x val="-2.5436609749624115E-2"/>
                  <c:y val="-0.20456451296671194"/>
                </c:manualLayout>
              </c:layout>
              <c:showLegendKey val="0"/>
              <c:showVal val="0"/>
              <c:showCatName val="1"/>
              <c:showSerName val="0"/>
              <c:showPercent val="0"/>
              <c:showBubbleSize val="0"/>
            </c:dLbl>
            <c:dLbl>
              <c:idx val="2"/>
              <c:layout>
                <c:manualLayout>
                  <c:x val="0.11061606063286998"/>
                  <c:y val="-0.162373022139322"/>
                </c:manualLayout>
              </c:layout>
              <c:showLegendKey val="0"/>
              <c:showVal val="0"/>
              <c:showCatName val="1"/>
              <c:showSerName val="0"/>
              <c:showPercent val="0"/>
              <c:showBubbleSize val="0"/>
            </c:dLbl>
            <c:dLbl>
              <c:idx val="3"/>
              <c:layout>
                <c:manualLayout>
                  <c:x val="0.17912412633813993"/>
                  <c:y val="-2.5473732738430014E-2"/>
                </c:manualLayout>
              </c:layout>
              <c:showLegendKey val="0"/>
              <c:showVal val="0"/>
              <c:showCatName val="1"/>
              <c:showSerName val="0"/>
              <c:showPercent val="0"/>
              <c:showBubbleSize val="0"/>
            </c:dLbl>
            <c:dLbl>
              <c:idx val="4"/>
              <c:layout>
                <c:manualLayout>
                  <c:x val="0.14550237400100308"/>
                  <c:y val="0.10634313034539"/>
                </c:manualLayout>
              </c:layout>
              <c:showLegendKey val="0"/>
              <c:showVal val="0"/>
              <c:showCatName val="1"/>
              <c:showSerName val="0"/>
              <c:showPercent val="0"/>
              <c:showBubbleSize val="0"/>
            </c:dLbl>
            <c:dLbl>
              <c:idx val="5"/>
              <c:delete val="1"/>
            </c:dLbl>
            <c:txPr>
              <a:bodyPr/>
              <a:lstStyle/>
              <a:p>
                <a:pPr>
                  <a:defRPr sz="1200" b="1"/>
                </a:pPr>
                <a:endParaRPr lang="nl-BE"/>
              </a:p>
            </c:txPr>
            <c:showLegendKey val="0"/>
            <c:showVal val="0"/>
            <c:showCatName val="1"/>
            <c:showSerName val="0"/>
            <c:showPercent val="0"/>
            <c:showBubbleSize val="0"/>
            <c:showLeaderLines val="1"/>
          </c:dLbls>
          <c:cat>
            <c:numRef>
              <c:f>'3-Synthese'!$F$52:$F$57</c:f>
              <c:numCache>
                <c:formatCode>General</c:formatCode>
                <c:ptCount val="6"/>
                <c:pt idx="0">
                  <c:v>0</c:v>
                </c:pt>
                <c:pt idx="1">
                  <c:v>1</c:v>
                </c:pt>
                <c:pt idx="2">
                  <c:v>2</c:v>
                </c:pt>
                <c:pt idx="3">
                  <c:v>3</c:v>
                </c:pt>
                <c:pt idx="4">
                  <c:v>4</c:v>
                </c:pt>
                <c:pt idx="5">
                  <c:v>5</c:v>
                </c:pt>
              </c:numCache>
            </c:numRef>
          </c:cat>
          <c:val>
            <c:numRef>
              <c:f>'3-Synthese'!$G$52:$G$57</c:f>
              <c:numCache>
                <c:formatCode>General</c:formatCode>
                <c:ptCount val="6"/>
                <c:pt idx="0">
                  <c:v>0</c:v>
                </c:pt>
                <c:pt idx="1">
                  <c:v>25</c:v>
                </c:pt>
                <c:pt idx="2">
                  <c:v>25</c:v>
                </c:pt>
                <c:pt idx="3">
                  <c:v>25</c:v>
                </c:pt>
                <c:pt idx="4">
                  <c:v>25</c:v>
                </c:pt>
                <c:pt idx="5">
                  <c:v>100</c:v>
                </c:pt>
              </c:numCache>
            </c:numRef>
          </c:val>
        </c:ser>
        <c:dLbls>
          <c:showLegendKey val="0"/>
          <c:showVal val="0"/>
          <c:showCatName val="0"/>
          <c:showSerName val="0"/>
          <c:showPercent val="0"/>
          <c:showBubbleSize val="0"/>
          <c:showLeaderLines val="1"/>
        </c:dLbls>
        <c:firstSliceAng val="270"/>
        <c:holeSize val="10"/>
      </c:doughnutChart>
    </c:plotArea>
    <c:plotVisOnly val="1"/>
    <c:dispBlanksAs val="zero"/>
    <c:showDLblsOverMax val="0"/>
  </c:chart>
  <c:spPr>
    <a:ln>
      <a:noFill/>
    </a:ln>
  </c:spPr>
  <c:printSettings>
    <c:headerFooter/>
    <c:pageMargins b="0.75000000000000433" l="0.70000000000000129" r="0.70000000000000129" t="0.750000000000004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nl-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nl-BE"/>
              <a:t>Biodiversiteit 
 </a:t>
            </a:r>
          </a:p>
        </c:rich>
      </c:tx>
      <c:layout>
        <c:manualLayout>
          <c:xMode val="edge"/>
          <c:yMode val="edge"/>
          <c:x val="0.37000000000000016"/>
          <c:y val="0.61409063450513079"/>
        </c:manualLayout>
      </c:layout>
      <c:overlay val="1"/>
    </c:title>
    <c:autoTitleDeleted val="0"/>
    <c:plotArea>
      <c:layout>
        <c:manualLayout>
          <c:layoutTarget val="inner"/>
          <c:xMode val="edge"/>
          <c:yMode val="edge"/>
          <c:x val="0.12412279925683609"/>
          <c:y val="0.126183007090094"/>
          <c:w val="0.76685363767731962"/>
          <c:h val="0.86119869220090461"/>
        </c:manualLayout>
      </c:layout>
      <c:doughnutChart>
        <c:varyColors val="1"/>
        <c:ser>
          <c:idx val="1"/>
          <c:order val="0"/>
          <c:tx>
            <c:v>Variable</c:v>
          </c:tx>
          <c:spPr>
            <a:ln>
              <a:noFill/>
            </a:ln>
          </c:spPr>
          <c:dPt>
            <c:idx val="0"/>
            <c:bubble3D val="0"/>
            <c:spPr>
              <a:noFill/>
              <a:ln>
                <a:noFill/>
              </a:ln>
            </c:spPr>
          </c:dPt>
          <c:dPt>
            <c:idx val="1"/>
            <c:bubble3D val="0"/>
            <c:spPr>
              <a:solidFill>
                <a:schemeClr val="tx1"/>
              </a:solidFill>
              <a:ln>
                <a:solidFill>
                  <a:sysClr val="windowText" lastClr="000000"/>
                </a:solidFill>
              </a:ln>
            </c:spPr>
          </c:dPt>
          <c:dPt>
            <c:idx val="2"/>
            <c:bubble3D val="0"/>
            <c:spPr>
              <a:noFill/>
              <a:ln>
                <a:noFill/>
              </a:ln>
            </c:spPr>
          </c:dPt>
          <c:dPt>
            <c:idx val="5"/>
            <c:bubble3D val="0"/>
            <c:spPr>
              <a:noFill/>
              <a:ln>
                <a:noFill/>
              </a:ln>
            </c:spPr>
          </c:dPt>
          <c:cat>
            <c:numRef>
              <c:f>'3-Synthese'!$F$52:$F$57</c:f>
              <c:numCache>
                <c:formatCode>General</c:formatCode>
                <c:ptCount val="6"/>
                <c:pt idx="0">
                  <c:v>0</c:v>
                </c:pt>
                <c:pt idx="1">
                  <c:v>1</c:v>
                </c:pt>
                <c:pt idx="2">
                  <c:v>2</c:v>
                </c:pt>
                <c:pt idx="3">
                  <c:v>3</c:v>
                </c:pt>
                <c:pt idx="4">
                  <c:v>4</c:v>
                </c:pt>
                <c:pt idx="5">
                  <c:v>5</c:v>
                </c:pt>
              </c:numCache>
            </c:numRef>
          </c:cat>
          <c:val>
            <c:numRef>
              <c:f>'3-Synthese'!$N$52:$N$57</c:f>
              <c:numCache>
                <c:formatCode>0%</c:formatCode>
                <c:ptCount val="6"/>
                <c:pt idx="0">
                  <c:v>0</c:v>
                </c:pt>
                <c:pt idx="1">
                  <c:v>0.01</c:v>
                </c:pt>
                <c:pt idx="2">
                  <c:v>0</c:v>
                </c:pt>
                <c:pt idx="3">
                  <c:v>0</c:v>
                </c:pt>
                <c:pt idx="4">
                  <c:v>0</c:v>
                </c:pt>
                <c:pt idx="5">
                  <c:v>1</c:v>
                </c:pt>
              </c:numCache>
            </c:numRef>
          </c:val>
        </c:ser>
        <c:ser>
          <c:idx val="0"/>
          <c:order val="1"/>
          <c:tx>
            <c:v>Fixe</c:v>
          </c:tx>
          <c:spPr>
            <a:ln>
              <a:solidFill>
                <a:sysClr val="windowText" lastClr="000000">
                  <a:alpha val="50000"/>
                </a:sysClr>
              </a:solidFill>
            </a:ln>
          </c:spPr>
          <c:dPt>
            <c:idx val="1"/>
            <c:bubble3D val="0"/>
            <c:spPr>
              <a:gradFill flip="none" rotWithShape="1">
                <a:gsLst>
                  <a:gs pos="33000">
                    <a:srgbClr val="FFC000"/>
                  </a:gs>
                  <a:gs pos="100000">
                    <a:srgbClr val="FF0000"/>
                  </a:gs>
                </a:gsLst>
                <a:lin ang="7200000" scaled="0"/>
                <a:tileRect/>
              </a:gradFill>
              <a:ln>
                <a:solidFill>
                  <a:sysClr val="windowText" lastClr="000000">
                    <a:alpha val="50000"/>
                  </a:sysClr>
                </a:solidFill>
              </a:ln>
            </c:spPr>
          </c:dPt>
          <c:dPt>
            <c:idx val="2"/>
            <c:bubble3D val="0"/>
            <c:spPr>
              <a:gradFill flip="none" rotWithShape="1">
                <a:gsLst>
                  <a:gs pos="33000">
                    <a:srgbClr val="FFFF00"/>
                  </a:gs>
                  <a:gs pos="66000">
                    <a:srgbClr val="FFC000"/>
                  </a:gs>
                </a:gsLst>
                <a:lin ang="9600000" scaled="0"/>
                <a:tileRect/>
              </a:gradFill>
              <a:ln>
                <a:solidFill>
                  <a:sysClr val="windowText" lastClr="000000">
                    <a:alpha val="50000"/>
                  </a:sysClr>
                </a:solidFill>
              </a:ln>
            </c:spPr>
          </c:dPt>
          <c:dPt>
            <c:idx val="3"/>
            <c:bubble3D val="0"/>
            <c:spPr>
              <a:gradFill>
                <a:gsLst>
                  <a:gs pos="66000">
                    <a:srgbClr val="92D050"/>
                  </a:gs>
                  <a:gs pos="33000">
                    <a:srgbClr val="FFFF00"/>
                  </a:gs>
                </a:gsLst>
                <a:lin ang="1200000" scaled="0"/>
              </a:gradFill>
              <a:ln>
                <a:solidFill>
                  <a:sysClr val="windowText" lastClr="000000">
                    <a:alpha val="50000"/>
                  </a:sysClr>
                </a:solidFill>
              </a:ln>
            </c:spPr>
          </c:dPt>
          <c:dPt>
            <c:idx val="4"/>
            <c:bubble3D val="0"/>
            <c:spPr>
              <a:gradFill>
                <a:gsLst>
                  <a:gs pos="0">
                    <a:srgbClr val="00B050"/>
                  </a:gs>
                  <a:gs pos="66000">
                    <a:srgbClr val="92D050"/>
                  </a:gs>
                </a:gsLst>
                <a:lin ang="14400000" scaled="0"/>
              </a:gradFill>
              <a:ln>
                <a:solidFill>
                  <a:sysClr val="windowText" lastClr="000000">
                    <a:alpha val="50000"/>
                  </a:sysClr>
                </a:solidFill>
              </a:ln>
            </c:spPr>
          </c:dPt>
          <c:dPt>
            <c:idx val="5"/>
            <c:bubble3D val="0"/>
            <c:spPr>
              <a:noFill/>
              <a:ln>
                <a:noFill/>
              </a:ln>
            </c:spPr>
          </c:dPt>
          <c:dLbls>
            <c:dLbl>
              <c:idx val="0"/>
              <c:layout>
                <c:manualLayout>
                  <c:x val="-0.11985018726591802"/>
                  <c:y val="-8.4122004726729527E-3"/>
                </c:manualLayout>
              </c:layout>
              <c:showLegendKey val="0"/>
              <c:showVal val="0"/>
              <c:showCatName val="1"/>
              <c:showSerName val="0"/>
              <c:showPercent val="0"/>
              <c:showBubbleSize val="0"/>
            </c:dLbl>
            <c:dLbl>
              <c:idx val="1"/>
              <c:layout>
                <c:manualLayout>
                  <c:x val="-2.5436609749624115E-2"/>
                  <c:y val="-0.20456451296671194"/>
                </c:manualLayout>
              </c:layout>
              <c:showLegendKey val="0"/>
              <c:showVal val="0"/>
              <c:showCatName val="1"/>
              <c:showSerName val="0"/>
              <c:showPercent val="0"/>
              <c:showBubbleSize val="0"/>
            </c:dLbl>
            <c:dLbl>
              <c:idx val="2"/>
              <c:layout>
                <c:manualLayout>
                  <c:x val="0.11061606063286998"/>
                  <c:y val="-0.162373022139322"/>
                </c:manualLayout>
              </c:layout>
              <c:showLegendKey val="0"/>
              <c:showVal val="0"/>
              <c:showCatName val="1"/>
              <c:showSerName val="0"/>
              <c:showPercent val="0"/>
              <c:showBubbleSize val="0"/>
            </c:dLbl>
            <c:dLbl>
              <c:idx val="3"/>
              <c:layout>
                <c:manualLayout>
                  <c:x val="0.17912412633813993"/>
                  <c:y val="-2.5473732738430014E-2"/>
                </c:manualLayout>
              </c:layout>
              <c:showLegendKey val="0"/>
              <c:showVal val="0"/>
              <c:showCatName val="1"/>
              <c:showSerName val="0"/>
              <c:showPercent val="0"/>
              <c:showBubbleSize val="0"/>
            </c:dLbl>
            <c:dLbl>
              <c:idx val="4"/>
              <c:layout>
                <c:manualLayout>
                  <c:x val="0.14550237400100308"/>
                  <c:y val="0.10634313034539"/>
                </c:manualLayout>
              </c:layout>
              <c:showLegendKey val="0"/>
              <c:showVal val="0"/>
              <c:showCatName val="1"/>
              <c:showSerName val="0"/>
              <c:showPercent val="0"/>
              <c:showBubbleSize val="0"/>
            </c:dLbl>
            <c:dLbl>
              <c:idx val="5"/>
              <c:delete val="1"/>
            </c:dLbl>
            <c:txPr>
              <a:bodyPr/>
              <a:lstStyle/>
              <a:p>
                <a:pPr>
                  <a:defRPr sz="1200" b="1"/>
                </a:pPr>
                <a:endParaRPr lang="nl-BE"/>
              </a:p>
            </c:txPr>
            <c:showLegendKey val="0"/>
            <c:showVal val="0"/>
            <c:showCatName val="1"/>
            <c:showSerName val="0"/>
            <c:showPercent val="0"/>
            <c:showBubbleSize val="0"/>
            <c:showLeaderLines val="1"/>
          </c:dLbls>
          <c:cat>
            <c:numRef>
              <c:f>'3-Synthese'!$F$52:$F$57</c:f>
              <c:numCache>
                <c:formatCode>General</c:formatCode>
                <c:ptCount val="6"/>
                <c:pt idx="0">
                  <c:v>0</c:v>
                </c:pt>
                <c:pt idx="1">
                  <c:v>1</c:v>
                </c:pt>
                <c:pt idx="2">
                  <c:v>2</c:v>
                </c:pt>
                <c:pt idx="3">
                  <c:v>3</c:v>
                </c:pt>
                <c:pt idx="4">
                  <c:v>4</c:v>
                </c:pt>
                <c:pt idx="5">
                  <c:v>5</c:v>
                </c:pt>
              </c:numCache>
            </c:numRef>
          </c:cat>
          <c:val>
            <c:numRef>
              <c:f>'3-Synthese'!$G$52:$G$57</c:f>
              <c:numCache>
                <c:formatCode>General</c:formatCode>
                <c:ptCount val="6"/>
                <c:pt idx="0">
                  <c:v>0</c:v>
                </c:pt>
                <c:pt idx="1">
                  <c:v>25</c:v>
                </c:pt>
                <c:pt idx="2">
                  <c:v>25</c:v>
                </c:pt>
                <c:pt idx="3">
                  <c:v>25</c:v>
                </c:pt>
                <c:pt idx="4">
                  <c:v>25</c:v>
                </c:pt>
                <c:pt idx="5">
                  <c:v>100</c:v>
                </c:pt>
              </c:numCache>
            </c:numRef>
          </c:val>
        </c:ser>
        <c:dLbls>
          <c:showLegendKey val="0"/>
          <c:showVal val="0"/>
          <c:showCatName val="0"/>
          <c:showSerName val="0"/>
          <c:showPercent val="0"/>
          <c:showBubbleSize val="0"/>
          <c:showLeaderLines val="1"/>
        </c:dLbls>
        <c:firstSliceAng val="270"/>
        <c:holeSize val="10"/>
      </c:doughnutChart>
    </c:plotArea>
    <c:plotVisOnly val="1"/>
    <c:dispBlanksAs val="zero"/>
    <c:showDLblsOverMax val="0"/>
  </c:chart>
  <c:spPr>
    <a:ln>
      <a:noFill/>
    </a:ln>
  </c:spPr>
  <c:printSettings>
    <c:headerFooter/>
    <c:pageMargins b="0.75000000000000433" l="0.70000000000000129" r="0.70000000000000129" t="0.750000000000004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nl-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nl-BE"/>
              <a:t>Afval, niveau bedrijf</a:t>
            </a:r>
          </a:p>
        </c:rich>
      </c:tx>
      <c:layout>
        <c:manualLayout>
          <c:xMode val="edge"/>
          <c:yMode val="edge"/>
          <c:x val="0.26887640449438216"/>
          <c:y val="0.61409063450513279"/>
        </c:manualLayout>
      </c:layout>
      <c:overlay val="1"/>
    </c:title>
    <c:autoTitleDeleted val="0"/>
    <c:plotArea>
      <c:layout>
        <c:manualLayout>
          <c:layoutTarget val="inner"/>
          <c:xMode val="edge"/>
          <c:yMode val="edge"/>
          <c:x val="0.12412279925683609"/>
          <c:y val="0.126183007090094"/>
          <c:w val="0.76685363767731962"/>
          <c:h val="0.86119869220090461"/>
        </c:manualLayout>
      </c:layout>
      <c:doughnutChart>
        <c:varyColors val="1"/>
        <c:ser>
          <c:idx val="1"/>
          <c:order val="0"/>
          <c:tx>
            <c:v>Variable</c:v>
          </c:tx>
          <c:spPr>
            <a:ln>
              <a:noFill/>
            </a:ln>
          </c:spPr>
          <c:dPt>
            <c:idx val="0"/>
            <c:bubble3D val="0"/>
            <c:spPr>
              <a:noFill/>
              <a:ln>
                <a:noFill/>
              </a:ln>
            </c:spPr>
          </c:dPt>
          <c:dPt>
            <c:idx val="1"/>
            <c:bubble3D val="0"/>
            <c:spPr>
              <a:solidFill>
                <a:schemeClr val="tx1"/>
              </a:solidFill>
              <a:ln>
                <a:solidFill>
                  <a:sysClr val="windowText" lastClr="000000"/>
                </a:solidFill>
              </a:ln>
            </c:spPr>
          </c:dPt>
          <c:dPt>
            <c:idx val="2"/>
            <c:bubble3D val="0"/>
            <c:spPr>
              <a:noFill/>
              <a:ln>
                <a:noFill/>
              </a:ln>
            </c:spPr>
          </c:dPt>
          <c:dPt>
            <c:idx val="5"/>
            <c:bubble3D val="0"/>
            <c:spPr>
              <a:noFill/>
              <a:ln>
                <a:noFill/>
              </a:ln>
            </c:spPr>
          </c:dPt>
          <c:cat>
            <c:numRef>
              <c:f>'3-Synthese'!$F$52:$F$57</c:f>
              <c:numCache>
                <c:formatCode>General</c:formatCode>
                <c:ptCount val="6"/>
                <c:pt idx="0">
                  <c:v>0</c:v>
                </c:pt>
                <c:pt idx="1">
                  <c:v>1</c:v>
                </c:pt>
                <c:pt idx="2">
                  <c:v>2</c:v>
                </c:pt>
                <c:pt idx="3">
                  <c:v>3</c:v>
                </c:pt>
                <c:pt idx="4">
                  <c:v>4</c:v>
                </c:pt>
                <c:pt idx="5">
                  <c:v>5</c:v>
                </c:pt>
              </c:numCache>
            </c:numRef>
          </c:cat>
          <c:val>
            <c:numRef>
              <c:f>'3-Synthese'!$Q$52:$Q$57</c:f>
              <c:numCache>
                <c:formatCode>0%</c:formatCode>
                <c:ptCount val="6"/>
                <c:pt idx="0">
                  <c:v>0</c:v>
                </c:pt>
                <c:pt idx="1">
                  <c:v>0.01</c:v>
                </c:pt>
                <c:pt idx="2">
                  <c:v>0</c:v>
                </c:pt>
                <c:pt idx="3">
                  <c:v>0</c:v>
                </c:pt>
                <c:pt idx="4">
                  <c:v>0</c:v>
                </c:pt>
                <c:pt idx="5">
                  <c:v>1</c:v>
                </c:pt>
              </c:numCache>
            </c:numRef>
          </c:val>
        </c:ser>
        <c:ser>
          <c:idx val="0"/>
          <c:order val="1"/>
          <c:tx>
            <c:v>Fixe</c:v>
          </c:tx>
          <c:spPr>
            <a:ln>
              <a:solidFill>
                <a:sysClr val="windowText" lastClr="000000">
                  <a:alpha val="50000"/>
                </a:sysClr>
              </a:solidFill>
            </a:ln>
          </c:spPr>
          <c:dPt>
            <c:idx val="1"/>
            <c:bubble3D val="0"/>
            <c:spPr>
              <a:gradFill flip="none" rotWithShape="1">
                <a:gsLst>
                  <a:gs pos="33000">
                    <a:srgbClr val="FFC000"/>
                  </a:gs>
                  <a:gs pos="100000">
                    <a:srgbClr val="FF0000"/>
                  </a:gs>
                </a:gsLst>
                <a:lin ang="7200000" scaled="0"/>
                <a:tileRect/>
              </a:gradFill>
              <a:ln>
                <a:solidFill>
                  <a:sysClr val="windowText" lastClr="000000">
                    <a:alpha val="50000"/>
                  </a:sysClr>
                </a:solidFill>
              </a:ln>
            </c:spPr>
          </c:dPt>
          <c:dPt>
            <c:idx val="2"/>
            <c:bubble3D val="0"/>
            <c:spPr>
              <a:gradFill flip="none" rotWithShape="1">
                <a:gsLst>
                  <a:gs pos="33000">
                    <a:srgbClr val="FFFF00"/>
                  </a:gs>
                  <a:gs pos="66000">
                    <a:srgbClr val="FFC000"/>
                  </a:gs>
                </a:gsLst>
                <a:lin ang="9600000" scaled="0"/>
                <a:tileRect/>
              </a:gradFill>
              <a:ln>
                <a:solidFill>
                  <a:sysClr val="windowText" lastClr="000000">
                    <a:alpha val="50000"/>
                  </a:sysClr>
                </a:solidFill>
              </a:ln>
            </c:spPr>
          </c:dPt>
          <c:dPt>
            <c:idx val="3"/>
            <c:bubble3D val="0"/>
            <c:spPr>
              <a:gradFill>
                <a:gsLst>
                  <a:gs pos="66000">
                    <a:srgbClr val="92D050"/>
                  </a:gs>
                  <a:gs pos="33000">
                    <a:srgbClr val="FFFF00"/>
                  </a:gs>
                </a:gsLst>
                <a:lin ang="1200000" scaled="0"/>
              </a:gradFill>
              <a:ln>
                <a:solidFill>
                  <a:sysClr val="windowText" lastClr="000000">
                    <a:alpha val="50000"/>
                  </a:sysClr>
                </a:solidFill>
              </a:ln>
            </c:spPr>
          </c:dPt>
          <c:dPt>
            <c:idx val="4"/>
            <c:bubble3D val="0"/>
            <c:spPr>
              <a:gradFill>
                <a:gsLst>
                  <a:gs pos="0">
                    <a:srgbClr val="00B050"/>
                  </a:gs>
                  <a:gs pos="66000">
                    <a:srgbClr val="92D050"/>
                  </a:gs>
                </a:gsLst>
                <a:lin ang="14400000" scaled="0"/>
              </a:gradFill>
              <a:ln>
                <a:solidFill>
                  <a:sysClr val="windowText" lastClr="000000">
                    <a:alpha val="50000"/>
                  </a:sysClr>
                </a:solidFill>
              </a:ln>
            </c:spPr>
          </c:dPt>
          <c:dPt>
            <c:idx val="5"/>
            <c:bubble3D val="0"/>
            <c:spPr>
              <a:noFill/>
              <a:ln>
                <a:noFill/>
              </a:ln>
            </c:spPr>
          </c:dPt>
          <c:dLbls>
            <c:dLbl>
              <c:idx val="0"/>
              <c:layout>
                <c:manualLayout>
                  <c:x val="-0.11985018726591802"/>
                  <c:y val="-8.4122004726729527E-3"/>
                </c:manualLayout>
              </c:layout>
              <c:showLegendKey val="0"/>
              <c:showVal val="0"/>
              <c:showCatName val="1"/>
              <c:showSerName val="0"/>
              <c:showPercent val="0"/>
              <c:showBubbleSize val="0"/>
            </c:dLbl>
            <c:dLbl>
              <c:idx val="1"/>
              <c:layout>
                <c:manualLayout>
                  <c:x val="-2.5436609749624115E-2"/>
                  <c:y val="-0.20456451296671194"/>
                </c:manualLayout>
              </c:layout>
              <c:showLegendKey val="0"/>
              <c:showVal val="0"/>
              <c:showCatName val="1"/>
              <c:showSerName val="0"/>
              <c:showPercent val="0"/>
              <c:showBubbleSize val="0"/>
            </c:dLbl>
            <c:dLbl>
              <c:idx val="2"/>
              <c:layout>
                <c:manualLayout>
                  <c:x val="0.11061606063286998"/>
                  <c:y val="-0.162373022139322"/>
                </c:manualLayout>
              </c:layout>
              <c:showLegendKey val="0"/>
              <c:showVal val="0"/>
              <c:showCatName val="1"/>
              <c:showSerName val="0"/>
              <c:showPercent val="0"/>
              <c:showBubbleSize val="0"/>
            </c:dLbl>
            <c:dLbl>
              <c:idx val="3"/>
              <c:layout>
                <c:manualLayout>
                  <c:x val="0.17912412633813993"/>
                  <c:y val="-2.5473732738429927E-2"/>
                </c:manualLayout>
              </c:layout>
              <c:showLegendKey val="0"/>
              <c:showVal val="0"/>
              <c:showCatName val="1"/>
              <c:showSerName val="0"/>
              <c:showPercent val="0"/>
              <c:showBubbleSize val="0"/>
            </c:dLbl>
            <c:dLbl>
              <c:idx val="4"/>
              <c:layout>
                <c:manualLayout>
                  <c:x val="0.14550237400100308"/>
                  <c:y val="0.10634313034539"/>
                </c:manualLayout>
              </c:layout>
              <c:showLegendKey val="0"/>
              <c:showVal val="0"/>
              <c:showCatName val="1"/>
              <c:showSerName val="0"/>
              <c:showPercent val="0"/>
              <c:showBubbleSize val="0"/>
            </c:dLbl>
            <c:dLbl>
              <c:idx val="5"/>
              <c:delete val="1"/>
            </c:dLbl>
            <c:txPr>
              <a:bodyPr/>
              <a:lstStyle/>
              <a:p>
                <a:pPr>
                  <a:defRPr sz="1200" b="1"/>
                </a:pPr>
                <a:endParaRPr lang="nl-BE"/>
              </a:p>
            </c:txPr>
            <c:showLegendKey val="0"/>
            <c:showVal val="0"/>
            <c:showCatName val="1"/>
            <c:showSerName val="0"/>
            <c:showPercent val="0"/>
            <c:showBubbleSize val="0"/>
            <c:showLeaderLines val="1"/>
          </c:dLbls>
          <c:cat>
            <c:numRef>
              <c:f>'3-Synthese'!$F$52:$F$57</c:f>
              <c:numCache>
                <c:formatCode>General</c:formatCode>
                <c:ptCount val="6"/>
                <c:pt idx="0">
                  <c:v>0</c:v>
                </c:pt>
                <c:pt idx="1">
                  <c:v>1</c:v>
                </c:pt>
                <c:pt idx="2">
                  <c:v>2</c:v>
                </c:pt>
                <c:pt idx="3">
                  <c:v>3</c:v>
                </c:pt>
                <c:pt idx="4">
                  <c:v>4</c:v>
                </c:pt>
                <c:pt idx="5">
                  <c:v>5</c:v>
                </c:pt>
              </c:numCache>
            </c:numRef>
          </c:cat>
          <c:val>
            <c:numRef>
              <c:f>'3-Synthese'!$G$52:$G$57</c:f>
              <c:numCache>
                <c:formatCode>General</c:formatCode>
                <c:ptCount val="6"/>
                <c:pt idx="0">
                  <c:v>0</c:v>
                </c:pt>
                <c:pt idx="1">
                  <c:v>25</c:v>
                </c:pt>
                <c:pt idx="2">
                  <c:v>25</c:v>
                </c:pt>
                <c:pt idx="3">
                  <c:v>25</c:v>
                </c:pt>
                <c:pt idx="4">
                  <c:v>25</c:v>
                </c:pt>
                <c:pt idx="5">
                  <c:v>100</c:v>
                </c:pt>
              </c:numCache>
            </c:numRef>
          </c:val>
        </c:ser>
        <c:dLbls>
          <c:showLegendKey val="0"/>
          <c:showVal val="0"/>
          <c:showCatName val="0"/>
          <c:showSerName val="0"/>
          <c:showPercent val="0"/>
          <c:showBubbleSize val="0"/>
          <c:showLeaderLines val="1"/>
        </c:dLbls>
        <c:firstSliceAng val="270"/>
        <c:holeSize val="10"/>
      </c:doughnutChart>
    </c:plotArea>
    <c:plotVisOnly val="1"/>
    <c:dispBlanksAs val="zero"/>
    <c:showDLblsOverMax val="0"/>
  </c:chart>
  <c:spPr>
    <a:ln>
      <a:noFill/>
    </a:ln>
  </c:spPr>
  <c:printSettings>
    <c:headerFooter/>
    <c:pageMargins b="0.75000000000000433" l="0.70000000000000129" r="0.70000000000000129" t="0.750000000000004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nl-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nl-BE"/>
              <a:t>Water</a:t>
            </a:r>
          </a:p>
        </c:rich>
      </c:tx>
      <c:layout>
        <c:manualLayout>
          <c:xMode val="edge"/>
          <c:yMode val="edge"/>
          <c:x val="0.4598876404494382"/>
          <c:y val="0.6982126392318535"/>
        </c:manualLayout>
      </c:layout>
      <c:overlay val="1"/>
    </c:title>
    <c:autoTitleDeleted val="0"/>
    <c:plotArea>
      <c:layout>
        <c:manualLayout>
          <c:layoutTarget val="inner"/>
          <c:xMode val="edge"/>
          <c:yMode val="edge"/>
          <c:x val="0.12412279925683509"/>
          <c:y val="0.126183007090094"/>
          <c:w val="0.76685363767731862"/>
          <c:h val="0.86119869220090361"/>
        </c:manualLayout>
      </c:layout>
      <c:doughnutChart>
        <c:varyColors val="1"/>
        <c:ser>
          <c:idx val="1"/>
          <c:order val="0"/>
          <c:tx>
            <c:v>Variable</c:v>
          </c:tx>
          <c:spPr>
            <a:ln>
              <a:noFill/>
            </a:ln>
          </c:spPr>
          <c:dPt>
            <c:idx val="0"/>
            <c:bubble3D val="0"/>
            <c:spPr>
              <a:noFill/>
              <a:ln>
                <a:noFill/>
              </a:ln>
            </c:spPr>
          </c:dPt>
          <c:dPt>
            <c:idx val="1"/>
            <c:bubble3D val="0"/>
            <c:spPr>
              <a:solidFill>
                <a:schemeClr val="tx1"/>
              </a:solidFill>
              <a:ln>
                <a:solidFill>
                  <a:sysClr val="windowText" lastClr="000000"/>
                </a:solidFill>
              </a:ln>
            </c:spPr>
          </c:dPt>
          <c:dPt>
            <c:idx val="2"/>
            <c:bubble3D val="0"/>
            <c:spPr>
              <a:noFill/>
              <a:ln>
                <a:noFill/>
              </a:ln>
            </c:spPr>
          </c:dPt>
          <c:dPt>
            <c:idx val="5"/>
            <c:bubble3D val="0"/>
            <c:spPr>
              <a:noFill/>
              <a:ln>
                <a:noFill/>
              </a:ln>
            </c:spPr>
          </c:dPt>
          <c:cat>
            <c:numRef>
              <c:f>'3-Synthese'!$F$52:$F$57</c:f>
              <c:numCache>
                <c:formatCode>General</c:formatCode>
                <c:ptCount val="6"/>
                <c:pt idx="0">
                  <c:v>0</c:v>
                </c:pt>
                <c:pt idx="1">
                  <c:v>1</c:v>
                </c:pt>
                <c:pt idx="2">
                  <c:v>2</c:v>
                </c:pt>
                <c:pt idx="3">
                  <c:v>3</c:v>
                </c:pt>
                <c:pt idx="4">
                  <c:v>4</c:v>
                </c:pt>
                <c:pt idx="5">
                  <c:v>5</c:v>
                </c:pt>
              </c:numCache>
            </c:numRef>
          </c:cat>
          <c:val>
            <c:numRef>
              <c:f>'3-Synthese'!$P$52:$P$57</c:f>
              <c:numCache>
                <c:formatCode>0%</c:formatCode>
                <c:ptCount val="6"/>
                <c:pt idx="0">
                  <c:v>0</c:v>
                </c:pt>
                <c:pt idx="1">
                  <c:v>0.01</c:v>
                </c:pt>
                <c:pt idx="2">
                  <c:v>0</c:v>
                </c:pt>
                <c:pt idx="3">
                  <c:v>0</c:v>
                </c:pt>
                <c:pt idx="4">
                  <c:v>0</c:v>
                </c:pt>
                <c:pt idx="5">
                  <c:v>1</c:v>
                </c:pt>
              </c:numCache>
            </c:numRef>
          </c:val>
        </c:ser>
        <c:ser>
          <c:idx val="0"/>
          <c:order val="1"/>
          <c:tx>
            <c:v>Fixe</c:v>
          </c:tx>
          <c:spPr>
            <a:ln>
              <a:solidFill>
                <a:sysClr val="windowText" lastClr="000000">
                  <a:alpha val="50000"/>
                </a:sysClr>
              </a:solidFill>
            </a:ln>
          </c:spPr>
          <c:dPt>
            <c:idx val="1"/>
            <c:bubble3D val="0"/>
            <c:spPr>
              <a:gradFill flip="none" rotWithShape="1">
                <a:gsLst>
                  <a:gs pos="33000">
                    <a:srgbClr val="FFC000"/>
                  </a:gs>
                  <a:gs pos="100000">
                    <a:srgbClr val="FF0000"/>
                  </a:gs>
                </a:gsLst>
                <a:lin ang="7200000" scaled="0"/>
                <a:tileRect/>
              </a:gradFill>
              <a:ln>
                <a:solidFill>
                  <a:sysClr val="windowText" lastClr="000000">
                    <a:alpha val="50000"/>
                  </a:sysClr>
                </a:solidFill>
              </a:ln>
            </c:spPr>
          </c:dPt>
          <c:dPt>
            <c:idx val="2"/>
            <c:bubble3D val="0"/>
            <c:spPr>
              <a:gradFill flip="none" rotWithShape="1">
                <a:gsLst>
                  <a:gs pos="33000">
                    <a:srgbClr val="FFFF00"/>
                  </a:gs>
                  <a:gs pos="66000">
                    <a:srgbClr val="FFC000"/>
                  </a:gs>
                </a:gsLst>
                <a:lin ang="9600000" scaled="0"/>
                <a:tileRect/>
              </a:gradFill>
              <a:ln>
                <a:solidFill>
                  <a:sysClr val="windowText" lastClr="000000">
                    <a:alpha val="50000"/>
                  </a:sysClr>
                </a:solidFill>
              </a:ln>
            </c:spPr>
          </c:dPt>
          <c:dPt>
            <c:idx val="3"/>
            <c:bubble3D val="0"/>
            <c:spPr>
              <a:gradFill>
                <a:gsLst>
                  <a:gs pos="66000">
                    <a:srgbClr val="92D050"/>
                  </a:gs>
                  <a:gs pos="33000">
                    <a:srgbClr val="FFFF00"/>
                  </a:gs>
                </a:gsLst>
                <a:lin ang="1200000" scaled="0"/>
              </a:gradFill>
              <a:ln>
                <a:solidFill>
                  <a:sysClr val="windowText" lastClr="000000">
                    <a:alpha val="50000"/>
                  </a:sysClr>
                </a:solidFill>
              </a:ln>
            </c:spPr>
          </c:dPt>
          <c:dPt>
            <c:idx val="4"/>
            <c:bubble3D val="0"/>
            <c:spPr>
              <a:gradFill>
                <a:gsLst>
                  <a:gs pos="0">
                    <a:srgbClr val="00B050"/>
                  </a:gs>
                  <a:gs pos="66000">
                    <a:srgbClr val="92D050"/>
                  </a:gs>
                </a:gsLst>
                <a:lin ang="14400000" scaled="0"/>
              </a:gradFill>
              <a:ln>
                <a:solidFill>
                  <a:sysClr val="windowText" lastClr="000000">
                    <a:alpha val="50000"/>
                  </a:sysClr>
                </a:solidFill>
              </a:ln>
            </c:spPr>
          </c:dPt>
          <c:dPt>
            <c:idx val="5"/>
            <c:bubble3D val="0"/>
            <c:spPr>
              <a:noFill/>
              <a:ln>
                <a:noFill/>
              </a:ln>
            </c:spPr>
          </c:dPt>
          <c:dLbls>
            <c:dLbl>
              <c:idx val="0"/>
              <c:layout>
                <c:manualLayout>
                  <c:x val="-0.11985018726591802"/>
                  <c:y val="-8.4122004726729527E-3"/>
                </c:manualLayout>
              </c:layout>
              <c:showLegendKey val="0"/>
              <c:showVal val="0"/>
              <c:showCatName val="1"/>
              <c:showSerName val="0"/>
              <c:showPercent val="0"/>
              <c:showBubbleSize val="0"/>
            </c:dLbl>
            <c:dLbl>
              <c:idx val="1"/>
              <c:layout>
                <c:manualLayout>
                  <c:x val="-2.5436609749624115E-2"/>
                  <c:y val="-0.20456451296671194"/>
                </c:manualLayout>
              </c:layout>
              <c:showLegendKey val="0"/>
              <c:showVal val="0"/>
              <c:showCatName val="1"/>
              <c:showSerName val="0"/>
              <c:showPercent val="0"/>
              <c:showBubbleSize val="0"/>
            </c:dLbl>
            <c:dLbl>
              <c:idx val="2"/>
              <c:layout>
                <c:manualLayout>
                  <c:x val="0.11061606063286998"/>
                  <c:y val="-0.162373022139322"/>
                </c:manualLayout>
              </c:layout>
              <c:showLegendKey val="0"/>
              <c:showVal val="0"/>
              <c:showCatName val="1"/>
              <c:showSerName val="0"/>
              <c:showPercent val="0"/>
              <c:showBubbleSize val="0"/>
            </c:dLbl>
            <c:dLbl>
              <c:idx val="3"/>
              <c:layout>
                <c:manualLayout>
                  <c:x val="0.17912412633813993"/>
                  <c:y val="-2.5473732738429927E-2"/>
                </c:manualLayout>
              </c:layout>
              <c:showLegendKey val="0"/>
              <c:showVal val="0"/>
              <c:showCatName val="1"/>
              <c:showSerName val="0"/>
              <c:showPercent val="0"/>
              <c:showBubbleSize val="0"/>
            </c:dLbl>
            <c:dLbl>
              <c:idx val="4"/>
              <c:layout>
                <c:manualLayout>
                  <c:x val="0.14550237400100308"/>
                  <c:y val="0.10634313034539"/>
                </c:manualLayout>
              </c:layout>
              <c:showLegendKey val="0"/>
              <c:showVal val="0"/>
              <c:showCatName val="1"/>
              <c:showSerName val="0"/>
              <c:showPercent val="0"/>
              <c:showBubbleSize val="0"/>
            </c:dLbl>
            <c:dLbl>
              <c:idx val="5"/>
              <c:delete val="1"/>
            </c:dLbl>
            <c:txPr>
              <a:bodyPr/>
              <a:lstStyle/>
              <a:p>
                <a:pPr>
                  <a:defRPr sz="1200" b="1"/>
                </a:pPr>
                <a:endParaRPr lang="nl-BE"/>
              </a:p>
            </c:txPr>
            <c:showLegendKey val="0"/>
            <c:showVal val="0"/>
            <c:showCatName val="1"/>
            <c:showSerName val="0"/>
            <c:showPercent val="0"/>
            <c:showBubbleSize val="0"/>
            <c:showLeaderLines val="1"/>
          </c:dLbls>
          <c:cat>
            <c:numRef>
              <c:f>'3-Synthese'!$F$52:$F$57</c:f>
              <c:numCache>
                <c:formatCode>General</c:formatCode>
                <c:ptCount val="6"/>
                <c:pt idx="0">
                  <c:v>0</c:v>
                </c:pt>
                <c:pt idx="1">
                  <c:v>1</c:v>
                </c:pt>
                <c:pt idx="2">
                  <c:v>2</c:v>
                </c:pt>
                <c:pt idx="3">
                  <c:v>3</c:v>
                </c:pt>
                <c:pt idx="4">
                  <c:v>4</c:v>
                </c:pt>
                <c:pt idx="5">
                  <c:v>5</c:v>
                </c:pt>
              </c:numCache>
            </c:numRef>
          </c:cat>
          <c:val>
            <c:numRef>
              <c:f>'3-Synthese'!$G$52:$G$57</c:f>
              <c:numCache>
                <c:formatCode>General</c:formatCode>
                <c:ptCount val="6"/>
                <c:pt idx="0">
                  <c:v>0</c:v>
                </c:pt>
                <c:pt idx="1">
                  <c:v>25</c:v>
                </c:pt>
                <c:pt idx="2">
                  <c:v>25</c:v>
                </c:pt>
                <c:pt idx="3">
                  <c:v>25</c:v>
                </c:pt>
                <c:pt idx="4">
                  <c:v>25</c:v>
                </c:pt>
                <c:pt idx="5">
                  <c:v>100</c:v>
                </c:pt>
              </c:numCache>
            </c:numRef>
          </c:val>
        </c:ser>
        <c:dLbls>
          <c:showLegendKey val="0"/>
          <c:showVal val="0"/>
          <c:showCatName val="0"/>
          <c:showSerName val="0"/>
          <c:showPercent val="0"/>
          <c:showBubbleSize val="0"/>
          <c:showLeaderLines val="1"/>
        </c:dLbls>
        <c:firstSliceAng val="270"/>
        <c:holeSize val="10"/>
      </c:doughnutChart>
    </c:plotArea>
    <c:plotVisOnly val="1"/>
    <c:dispBlanksAs val="zero"/>
    <c:showDLblsOverMax val="0"/>
  </c:chart>
  <c:spPr>
    <a:ln>
      <a:noFill/>
    </a:ln>
  </c:spPr>
  <c:printSettings>
    <c:headerFooter/>
    <c:pageMargins b="0.75000000000000333" l="0.70000000000000129" r="0.70000000000000129" t="0.75000000000000333" header="0.30000000000000016" footer="0.30000000000000016"/>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nl-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nl-BE"/>
              <a:t>Energie 
 niveau bedrijf</a:t>
            </a:r>
          </a:p>
        </c:rich>
      </c:tx>
      <c:layout>
        <c:manualLayout>
          <c:xMode val="edge"/>
          <c:yMode val="edge"/>
          <c:x val="0.26887640449438216"/>
          <c:y val="0.61409063450513079"/>
        </c:manualLayout>
      </c:layout>
      <c:overlay val="1"/>
    </c:title>
    <c:autoTitleDeleted val="0"/>
    <c:plotArea>
      <c:layout>
        <c:manualLayout>
          <c:layoutTarget val="inner"/>
          <c:xMode val="edge"/>
          <c:yMode val="edge"/>
          <c:x val="0.12412279925683509"/>
          <c:y val="0.126183007090094"/>
          <c:w val="0.76685363767731762"/>
          <c:h val="0.86119869220090262"/>
        </c:manualLayout>
      </c:layout>
      <c:doughnutChart>
        <c:varyColors val="1"/>
        <c:ser>
          <c:idx val="1"/>
          <c:order val="0"/>
          <c:tx>
            <c:v>Variable</c:v>
          </c:tx>
          <c:spPr>
            <a:ln>
              <a:noFill/>
            </a:ln>
          </c:spPr>
          <c:dPt>
            <c:idx val="0"/>
            <c:bubble3D val="0"/>
            <c:spPr>
              <a:noFill/>
              <a:ln>
                <a:noFill/>
              </a:ln>
            </c:spPr>
          </c:dPt>
          <c:dPt>
            <c:idx val="1"/>
            <c:bubble3D val="0"/>
            <c:spPr>
              <a:solidFill>
                <a:schemeClr val="tx1"/>
              </a:solidFill>
              <a:ln>
                <a:solidFill>
                  <a:sysClr val="windowText" lastClr="000000"/>
                </a:solidFill>
              </a:ln>
            </c:spPr>
          </c:dPt>
          <c:dPt>
            <c:idx val="2"/>
            <c:bubble3D val="0"/>
            <c:spPr>
              <a:noFill/>
              <a:ln>
                <a:noFill/>
              </a:ln>
            </c:spPr>
          </c:dPt>
          <c:dPt>
            <c:idx val="5"/>
            <c:bubble3D val="0"/>
            <c:spPr>
              <a:noFill/>
              <a:ln>
                <a:noFill/>
              </a:ln>
            </c:spPr>
          </c:dPt>
          <c:cat>
            <c:numRef>
              <c:f>'3-Synthese'!$F$52:$F$57</c:f>
              <c:numCache>
                <c:formatCode>General</c:formatCode>
                <c:ptCount val="6"/>
                <c:pt idx="0">
                  <c:v>0</c:v>
                </c:pt>
                <c:pt idx="1">
                  <c:v>1</c:v>
                </c:pt>
                <c:pt idx="2">
                  <c:v>2</c:v>
                </c:pt>
                <c:pt idx="3">
                  <c:v>3</c:v>
                </c:pt>
                <c:pt idx="4">
                  <c:v>4</c:v>
                </c:pt>
                <c:pt idx="5">
                  <c:v>5</c:v>
                </c:pt>
              </c:numCache>
            </c:numRef>
          </c:cat>
          <c:val>
            <c:numRef>
              <c:f>'3-Synthese'!$O$52:$O$57</c:f>
              <c:numCache>
                <c:formatCode>0%</c:formatCode>
                <c:ptCount val="6"/>
                <c:pt idx="0">
                  <c:v>0</c:v>
                </c:pt>
                <c:pt idx="1">
                  <c:v>0.01</c:v>
                </c:pt>
                <c:pt idx="2">
                  <c:v>0</c:v>
                </c:pt>
                <c:pt idx="3">
                  <c:v>0</c:v>
                </c:pt>
                <c:pt idx="4">
                  <c:v>0</c:v>
                </c:pt>
                <c:pt idx="5">
                  <c:v>1</c:v>
                </c:pt>
              </c:numCache>
            </c:numRef>
          </c:val>
        </c:ser>
        <c:ser>
          <c:idx val="0"/>
          <c:order val="1"/>
          <c:tx>
            <c:v>Fixe</c:v>
          </c:tx>
          <c:spPr>
            <a:ln>
              <a:solidFill>
                <a:sysClr val="windowText" lastClr="000000">
                  <a:alpha val="50000"/>
                </a:sysClr>
              </a:solidFill>
            </a:ln>
          </c:spPr>
          <c:dPt>
            <c:idx val="1"/>
            <c:bubble3D val="0"/>
            <c:spPr>
              <a:gradFill flip="none" rotWithShape="1">
                <a:gsLst>
                  <a:gs pos="33000">
                    <a:srgbClr val="FFC000"/>
                  </a:gs>
                  <a:gs pos="100000">
                    <a:srgbClr val="FF0000"/>
                  </a:gs>
                </a:gsLst>
                <a:lin ang="7200000" scaled="0"/>
                <a:tileRect/>
              </a:gradFill>
              <a:ln>
                <a:solidFill>
                  <a:sysClr val="windowText" lastClr="000000">
                    <a:alpha val="50000"/>
                  </a:sysClr>
                </a:solidFill>
              </a:ln>
            </c:spPr>
          </c:dPt>
          <c:dPt>
            <c:idx val="2"/>
            <c:bubble3D val="0"/>
            <c:spPr>
              <a:gradFill flip="none" rotWithShape="1">
                <a:gsLst>
                  <a:gs pos="33000">
                    <a:srgbClr val="FFFF00"/>
                  </a:gs>
                  <a:gs pos="66000">
                    <a:srgbClr val="FFC000"/>
                  </a:gs>
                </a:gsLst>
                <a:lin ang="9600000" scaled="0"/>
                <a:tileRect/>
              </a:gradFill>
              <a:ln>
                <a:solidFill>
                  <a:sysClr val="windowText" lastClr="000000">
                    <a:alpha val="50000"/>
                  </a:sysClr>
                </a:solidFill>
              </a:ln>
            </c:spPr>
          </c:dPt>
          <c:dPt>
            <c:idx val="3"/>
            <c:bubble3D val="0"/>
            <c:spPr>
              <a:gradFill>
                <a:gsLst>
                  <a:gs pos="66000">
                    <a:srgbClr val="92D050"/>
                  </a:gs>
                  <a:gs pos="33000">
                    <a:srgbClr val="FFFF00"/>
                  </a:gs>
                </a:gsLst>
                <a:lin ang="1200000" scaled="0"/>
              </a:gradFill>
              <a:ln>
                <a:solidFill>
                  <a:sysClr val="windowText" lastClr="000000">
                    <a:alpha val="50000"/>
                  </a:sysClr>
                </a:solidFill>
              </a:ln>
            </c:spPr>
          </c:dPt>
          <c:dPt>
            <c:idx val="4"/>
            <c:bubble3D val="0"/>
            <c:spPr>
              <a:gradFill>
                <a:gsLst>
                  <a:gs pos="0">
                    <a:srgbClr val="00B050"/>
                  </a:gs>
                  <a:gs pos="66000">
                    <a:srgbClr val="92D050"/>
                  </a:gs>
                </a:gsLst>
                <a:lin ang="14400000" scaled="0"/>
              </a:gradFill>
              <a:ln>
                <a:solidFill>
                  <a:sysClr val="windowText" lastClr="000000">
                    <a:alpha val="50000"/>
                  </a:sysClr>
                </a:solidFill>
              </a:ln>
            </c:spPr>
          </c:dPt>
          <c:dPt>
            <c:idx val="5"/>
            <c:bubble3D val="0"/>
            <c:spPr>
              <a:noFill/>
              <a:ln>
                <a:noFill/>
              </a:ln>
            </c:spPr>
          </c:dPt>
          <c:dLbls>
            <c:dLbl>
              <c:idx val="0"/>
              <c:layout>
                <c:manualLayout>
                  <c:x val="-0.11985018726591802"/>
                  <c:y val="-8.4122004726729527E-3"/>
                </c:manualLayout>
              </c:layout>
              <c:showLegendKey val="0"/>
              <c:showVal val="0"/>
              <c:showCatName val="1"/>
              <c:showSerName val="0"/>
              <c:showPercent val="0"/>
              <c:showBubbleSize val="0"/>
            </c:dLbl>
            <c:dLbl>
              <c:idx val="1"/>
              <c:layout>
                <c:manualLayout>
                  <c:x val="-2.5436609749624115E-2"/>
                  <c:y val="-0.20456451296671194"/>
                </c:manualLayout>
              </c:layout>
              <c:showLegendKey val="0"/>
              <c:showVal val="0"/>
              <c:showCatName val="1"/>
              <c:showSerName val="0"/>
              <c:showPercent val="0"/>
              <c:showBubbleSize val="0"/>
            </c:dLbl>
            <c:dLbl>
              <c:idx val="2"/>
              <c:layout>
                <c:manualLayout>
                  <c:x val="0.11061606063286998"/>
                  <c:y val="-0.162373022139322"/>
                </c:manualLayout>
              </c:layout>
              <c:showLegendKey val="0"/>
              <c:showVal val="0"/>
              <c:showCatName val="1"/>
              <c:showSerName val="0"/>
              <c:showPercent val="0"/>
              <c:showBubbleSize val="0"/>
            </c:dLbl>
            <c:dLbl>
              <c:idx val="3"/>
              <c:layout>
                <c:manualLayout>
                  <c:x val="0.17912412633813993"/>
                  <c:y val="-2.5473732738429927E-2"/>
                </c:manualLayout>
              </c:layout>
              <c:showLegendKey val="0"/>
              <c:showVal val="0"/>
              <c:showCatName val="1"/>
              <c:showSerName val="0"/>
              <c:showPercent val="0"/>
              <c:showBubbleSize val="0"/>
            </c:dLbl>
            <c:dLbl>
              <c:idx val="4"/>
              <c:layout>
                <c:manualLayout>
                  <c:x val="0.14550237400100308"/>
                  <c:y val="0.10634313034539"/>
                </c:manualLayout>
              </c:layout>
              <c:showLegendKey val="0"/>
              <c:showVal val="0"/>
              <c:showCatName val="1"/>
              <c:showSerName val="0"/>
              <c:showPercent val="0"/>
              <c:showBubbleSize val="0"/>
            </c:dLbl>
            <c:dLbl>
              <c:idx val="5"/>
              <c:delete val="1"/>
            </c:dLbl>
            <c:txPr>
              <a:bodyPr/>
              <a:lstStyle/>
              <a:p>
                <a:pPr>
                  <a:defRPr sz="1200" b="1"/>
                </a:pPr>
                <a:endParaRPr lang="nl-BE"/>
              </a:p>
            </c:txPr>
            <c:showLegendKey val="0"/>
            <c:showVal val="0"/>
            <c:showCatName val="1"/>
            <c:showSerName val="0"/>
            <c:showPercent val="0"/>
            <c:showBubbleSize val="0"/>
            <c:showLeaderLines val="1"/>
          </c:dLbls>
          <c:cat>
            <c:numRef>
              <c:f>'3-Synthese'!$F$52:$F$57</c:f>
              <c:numCache>
                <c:formatCode>General</c:formatCode>
                <c:ptCount val="6"/>
                <c:pt idx="0">
                  <c:v>0</c:v>
                </c:pt>
                <c:pt idx="1">
                  <c:v>1</c:v>
                </c:pt>
                <c:pt idx="2">
                  <c:v>2</c:v>
                </c:pt>
                <c:pt idx="3">
                  <c:v>3</c:v>
                </c:pt>
                <c:pt idx="4">
                  <c:v>4</c:v>
                </c:pt>
                <c:pt idx="5">
                  <c:v>5</c:v>
                </c:pt>
              </c:numCache>
            </c:numRef>
          </c:cat>
          <c:val>
            <c:numRef>
              <c:f>'3-Synthese'!$G$52:$G$57</c:f>
              <c:numCache>
                <c:formatCode>General</c:formatCode>
                <c:ptCount val="6"/>
                <c:pt idx="0">
                  <c:v>0</c:v>
                </c:pt>
                <c:pt idx="1">
                  <c:v>25</c:v>
                </c:pt>
                <c:pt idx="2">
                  <c:v>25</c:v>
                </c:pt>
                <c:pt idx="3">
                  <c:v>25</c:v>
                </c:pt>
                <c:pt idx="4">
                  <c:v>25</c:v>
                </c:pt>
                <c:pt idx="5">
                  <c:v>100</c:v>
                </c:pt>
              </c:numCache>
            </c:numRef>
          </c:val>
        </c:ser>
        <c:dLbls>
          <c:showLegendKey val="0"/>
          <c:showVal val="0"/>
          <c:showCatName val="0"/>
          <c:showSerName val="0"/>
          <c:showPercent val="0"/>
          <c:showBubbleSize val="0"/>
          <c:showLeaderLines val="1"/>
        </c:dLbls>
        <c:firstSliceAng val="270"/>
        <c:holeSize val="10"/>
      </c:doughnutChart>
    </c:plotArea>
    <c:plotVisOnly val="1"/>
    <c:dispBlanksAs val="zero"/>
    <c:showDLblsOverMax val="0"/>
  </c:chart>
  <c:spPr>
    <a:ln>
      <a:noFill/>
    </a:ln>
  </c:spPr>
  <c:printSettings>
    <c:headerFooter/>
    <c:pageMargins b="0.75000000000000333" l="0.70000000000000129" r="0.70000000000000129" t="0.75000000000000333" header="0.30000000000000016" footer="0.30000000000000016"/>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nl-B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3200"/>
            </a:pPr>
            <a:r>
              <a:rPr lang="fr-BE"/>
              <a:t>Niveau SITE :</a:t>
            </a:r>
          </a:p>
        </c:rich>
      </c:tx>
      <c:layout>
        <c:manualLayout>
          <c:xMode val="edge"/>
          <c:yMode val="edge"/>
          <c:x val="1.6143278580101679E-2"/>
          <c:y val="8.3036776530642491E-3"/>
        </c:manualLayout>
      </c:layout>
      <c:overlay val="0"/>
    </c:title>
    <c:autoTitleDeleted val="0"/>
    <c:plotArea>
      <c:layout>
        <c:manualLayout>
          <c:layoutTarget val="inner"/>
          <c:xMode val="edge"/>
          <c:yMode val="edge"/>
          <c:x val="0.30628044483389527"/>
          <c:y val="0.12831034067251901"/>
          <c:w val="0.38874060994153226"/>
          <c:h val="0.68799362670254105"/>
        </c:manualLayout>
      </c:layout>
      <c:radarChart>
        <c:radarStyle val="marker"/>
        <c:varyColors val="0"/>
        <c:ser>
          <c:idx val="0"/>
          <c:order val="0"/>
          <c:tx>
            <c:strRef>
              <c:f>'4-Materialen gebouwen'!$M$396</c:f>
              <c:strCache>
                <c:ptCount val="1"/>
                <c:pt idx="0">
                  <c:v>TARGET</c:v>
                </c:pt>
              </c:strCache>
            </c:strRef>
          </c:tx>
          <c:spPr>
            <a:ln w="63500">
              <a:solidFill>
                <a:srgbClr val="00B050"/>
              </a:solidFill>
            </a:ln>
          </c:spPr>
          <c:marker>
            <c:symbol val="circle"/>
            <c:size val="10"/>
            <c:spPr>
              <a:solidFill>
                <a:srgbClr val="FF9900"/>
              </a:solidFill>
            </c:spPr>
          </c:marker>
          <c:cat>
            <c:strRef>
              <c:f>'4-Materialen gebouwen'!$L$445:$L$449</c:f>
              <c:strCache>
                <c:ptCount val="5"/>
                <c:pt idx="0">
                  <c:v>Circulatieruimtes - impact op het milieu</c:v>
                </c:pt>
                <c:pt idx="1">
                  <c:v>parkeren, overslag; impact op het milieu</c:v>
                </c:pt>
                <c:pt idx="2">
                  <c:v>Rationalisatie en zonering</c:v>
                </c:pt>
                <c:pt idx="3">
                  <c:v>Exploitatie van het potentieel van de site</c:v>
                </c:pt>
                <c:pt idx="4">
                  <c:v>Oorsprong en samenstelling</c:v>
                </c:pt>
              </c:strCache>
            </c:strRef>
          </c:cat>
          <c:val>
            <c:numRef>
              <c:f>'4-Materialen gebouwen'!$M$445:$M$449</c:f>
              <c:numCache>
                <c:formatCode>General</c:formatCode>
                <c:ptCount val="5"/>
                <c:pt idx="0">
                  <c:v>-1</c:v>
                </c:pt>
                <c:pt idx="1">
                  <c:v>0</c:v>
                </c:pt>
                <c:pt idx="2">
                  <c:v>2</c:v>
                </c:pt>
                <c:pt idx="3">
                  <c:v>2</c:v>
                </c:pt>
                <c:pt idx="4">
                  <c:v>0</c:v>
                </c:pt>
              </c:numCache>
            </c:numRef>
          </c:val>
        </c:ser>
        <c:dLbls>
          <c:showLegendKey val="0"/>
          <c:showVal val="0"/>
          <c:showCatName val="0"/>
          <c:showSerName val="0"/>
          <c:showPercent val="0"/>
          <c:showBubbleSize val="0"/>
        </c:dLbls>
        <c:axId val="128981632"/>
        <c:axId val="129180416"/>
      </c:radarChart>
      <c:catAx>
        <c:axId val="128981632"/>
        <c:scaling>
          <c:orientation val="minMax"/>
        </c:scaling>
        <c:delete val="0"/>
        <c:axPos val="b"/>
        <c:majorGridlines>
          <c:spPr>
            <a:ln w="44450"/>
          </c:spPr>
        </c:majorGridlines>
        <c:numFmt formatCode="@" sourceLinked="0"/>
        <c:majorTickMark val="out"/>
        <c:minorTickMark val="none"/>
        <c:tickLblPos val="nextTo"/>
        <c:txPr>
          <a:bodyPr rot="0" vert="horz"/>
          <a:lstStyle/>
          <a:p>
            <a:pPr>
              <a:defRPr sz="1400" b="0" i="0" u="none" strike="noStrike" baseline="0">
                <a:solidFill>
                  <a:srgbClr val="000000"/>
                </a:solidFill>
                <a:latin typeface="Arial"/>
                <a:ea typeface="Arial"/>
                <a:cs typeface="Arial"/>
              </a:defRPr>
            </a:pPr>
            <a:endParaRPr lang="nl-BE"/>
          </a:p>
        </c:txPr>
        <c:crossAx val="129180416"/>
        <c:crosses val="autoZero"/>
        <c:auto val="0"/>
        <c:lblAlgn val="ctr"/>
        <c:lblOffset val="100"/>
        <c:noMultiLvlLbl val="0"/>
      </c:catAx>
      <c:valAx>
        <c:axId val="129180416"/>
        <c:scaling>
          <c:orientation val="minMax"/>
          <c:max val="3"/>
          <c:min val="0"/>
        </c:scaling>
        <c:delete val="0"/>
        <c:axPos val="l"/>
        <c:majorGridlines/>
        <c:numFmt formatCode="General" sourceLinked="1"/>
        <c:majorTickMark val="none"/>
        <c:minorTickMark val="none"/>
        <c:tickLblPos val="none"/>
        <c:spPr>
          <a:ln w="44450"/>
        </c:spPr>
        <c:txPr>
          <a:bodyPr rot="0" vert="horz"/>
          <a:lstStyle/>
          <a:p>
            <a:pPr>
              <a:defRPr sz="1000" b="0" i="0" u="none" strike="noStrike" baseline="0">
                <a:solidFill>
                  <a:srgbClr val="CCFFFF"/>
                </a:solidFill>
                <a:latin typeface="Calibri"/>
                <a:ea typeface="Calibri"/>
                <a:cs typeface="Calibri"/>
              </a:defRPr>
            </a:pPr>
            <a:endParaRPr lang="nl-BE"/>
          </a:p>
        </c:txPr>
        <c:crossAx val="128981632"/>
        <c:crosses val="autoZero"/>
        <c:crossBetween val="between"/>
        <c:majorUnit val="1"/>
        <c:minorUnit val="1"/>
      </c:valAx>
      <c:spPr>
        <a:solidFill>
          <a:srgbClr val="9BBB59">
            <a:lumMod val="40000"/>
            <a:lumOff val="60000"/>
          </a:srgbClr>
        </a:solidFill>
      </c:spPr>
    </c:plotArea>
    <c:legend>
      <c:legendPos val="r"/>
      <c:legendEntry>
        <c:idx val="0"/>
        <c:txPr>
          <a:bodyPr/>
          <a:lstStyle/>
          <a:p>
            <a:pPr>
              <a:defRPr sz="2400" b="0" i="0" u="none" strike="noStrike" baseline="0">
                <a:solidFill>
                  <a:srgbClr val="000000"/>
                </a:solidFill>
                <a:latin typeface="Calibri"/>
                <a:ea typeface="Calibri"/>
                <a:cs typeface="Calibri"/>
              </a:defRPr>
            </a:pPr>
            <a:endParaRPr lang="nl-BE"/>
          </a:p>
        </c:txPr>
      </c:legendEntry>
      <c:layout>
        <c:manualLayout>
          <c:xMode val="edge"/>
          <c:yMode val="edge"/>
          <c:x val="0.7347100608088486"/>
          <c:y val="0.89709464836935304"/>
          <c:w val="0.17245341760020821"/>
          <c:h val="4.0663915062506412E-2"/>
        </c:manualLayout>
      </c:layout>
      <c:overlay val="0"/>
      <c:txPr>
        <a:bodyPr/>
        <a:lstStyle/>
        <a:p>
          <a:pPr>
            <a:defRPr sz="2400" b="0" i="0" u="none" strike="noStrike" baseline="0">
              <a:solidFill>
                <a:srgbClr val="000000"/>
              </a:solidFill>
              <a:latin typeface="Calibri"/>
              <a:ea typeface="Calibri"/>
              <a:cs typeface="Calibri"/>
            </a:defRPr>
          </a:pPr>
          <a:endParaRPr lang="nl-BE"/>
        </a:p>
      </c:txPr>
    </c:legend>
    <c:plotVisOnly val="1"/>
    <c:dispBlanksAs val="gap"/>
    <c:showDLblsOverMax val="0"/>
  </c:chart>
  <c:spPr>
    <a:solidFill>
      <a:srgbClr val="9BBB59">
        <a:lumMod val="40000"/>
        <a:lumOff val="60000"/>
      </a:srgbClr>
    </a:solidFill>
    <a:ln>
      <a:solidFill>
        <a:schemeClr val="tx1"/>
      </a:solidFill>
    </a:ln>
  </c:spPr>
  <c:txPr>
    <a:bodyPr/>
    <a:lstStyle/>
    <a:p>
      <a:pPr>
        <a:defRPr sz="1000" b="0" i="0" u="none" strike="noStrike" baseline="0">
          <a:solidFill>
            <a:srgbClr val="000000"/>
          </a:solidFill>
          <a:latin typeface="Calibri"/>
          <a:ea typeface="Calibri"/>
          <a:cs typeface="Calibri"/>
        </a:defRPr>
      </a:pPr>
      <a:endParaRPr lang="nl-BE"/>
    </a:p>
  </c:txPr>
  <c:printSettings>
    <c:headerFooter/>
    <c:pageMargins b="0.75000000000000855" l="0.70000000000000151" r="0.70000000000000151" t="0.75000000000000855" header="0.30000000000000027" footer="0.30000000000000027"/>
    <c:pageSetup/>
  </c:printSettings>
  <c:userShapes r:id="rId2"/>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5.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emf"/><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6.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11" Type="http://schemas.openxmlformats.org/officeDocument/2006/relationships/chart" Target="../charts/chart21.xml"/><Relationship Id="rId5" Type="http://schemas.openxmlformats.org/officeDocument/2006/relationships/chart" Target="../charts/chart15.xml"/><Relationship Id="rId10" Type="http://schemas.openxmlformats.org/officeDocument/2006/relationships/chart" Target="../charts/chart20.xml"/><Relationship Id="rId4" Type="http://schemas.openxmlformats.org/officeDocument/2006/relationships/chart" Target="../charts/chart14.xml"/><Relationship Id="rId9"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5</xdr:col>
      <xdr:colOff>268817</xdr:colOff>
      <xdr:row>18</xdr:row>
      <xdr:rowOff>161924</xdr:rowOff>
    </xdr:to>
    <xdr:graphicFrame macro="">
      <xdr:nvGraphicFramePr>
        <xdr:cNvPr id="16" name="Graphique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3</xdr:row>
      <xdr:rowOff>0</xdr:rowOff>
    </xdr:from>
    <xdr:to>
      <xdr:col>10</xdr:col>
      <xdr:colOff>342900</xdr:colOff>
      <xdr:row>18</xdr:row>
      <xdr:rowOff>161924</xdr:rowOff>
    </xdr:to>
    <xdr:graphicFrame macro="">
      <xdr:nvGraphicFramePr>
        <xdr:cNvPr id="17" name="Graphique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3</xdr:row>
      <xdr:rowOff>0</xdr:rowOff>
    </xdr:from>
    <xdr:to>
      <xdr:col>15</xdr:col>
      <xdr:colOff>338542</xdr:colOff>
      <xdr:row>18</xdr:row>
      <xdr:rowOff>161924</xdr:rowOff>
    </xdr:to>
    <xdr:graphicFrame macro="">
      <xdr:nvGraphicFramePr>
        <xdr:cNvPr id="18" name="Graphique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0</xdr:colOff>
      <xdr:row>3</xdr:row>
      <xdr:rowOff>0</xdr:rowOff>
    </xdr:from>
    <xdr:to>
      <xdr:col>20</xdr:col>
      <xdr:colOff>342900</xdr:colOff>
      <xdr:row>18</xdr:row>
      <xdr:rowOff>161924</xdr:rowOff>
    </xdr:to>
    <xdr:graphicFrame macro="">
      <xdr:nvGraphicFramePr>
        <xdr:cNvPr id="20" name="Graphique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20</xdr:row>
      <xdr:rowOff>0</xdr:rowOff>
    </xdr:from>
    <xdr:to>
      <xdr:col>5</xdr:col>
      <xdr:colOff>271058</xdr:colOff>
      <xdr:row>35</xdr:row>
      <xdr:rowOff>161924</xdr:rowOff>
    </xdr:to>
    <xdr:graphicFrame macro="">
      <xdr:nvGraphicFramePr>
        <xdr:cNvPr id="22" name="Graphique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0</xdr:colOff>
      <xdr:row>20</xdr:row>
      <xdr:rowOff>0</xdr:rowOff>
    </xdr:from>
    <xdr:to>
      <xdr:col>20</xdr:col>
      <xdr:colOff>345141</xdr:colOff>
      <xdr:row>35</xdr:row>
      <xdr:rowOff>161924</xdr:rowOff>
    </xdr:to>
    <xdr:graphicFrame macro="">
      <xdr:nvGraphicFramePr>
        <xdr:cNvPr id="23" name="Graphique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20</xdr:row>
      <xdr:rowOff>0</xdr:rowOff>
    </xdr:from>
    <xdr:to>
      <xdr:col>15</xdr:col>
      <xdr:colOff>342900</xdr:colOff>
      <xdr:row>35</xdr:row>
      <xdr:rowOff>161924</xdr:rowOff>
    </xdr:to>
    <xdr:graphicFrame macro="">
      <xdr:nvGraphicFramePr>
        <xdr:cNvPr id="24" name="Graphique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0</xdr:colOff>
      <xdr:row>20</xdr:row>
      <xdr:rowOff>0</xdr:rowOff>
    </xdr:from>
    <xdr:to>
      <xdr:col>10</xdr:col>
      <xdr:colOff>340783</xdr:colOff>
      <xdr:row>35</xdr:row>
      <xdr:rowOff>161924</xdr:rowOff>
    </xdr:to>
    <xdr:graphicFrame macro="">
      <xdr:nvGraphicFramePr>
        <xdr:cNvPr id="25" name="Graphique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15</xdr:col>
      <xdr:colOff>66675</xdr:colOff>
      <xdr:row>333</xdr:row>
      <xdr:rowOff>47626</xdr:rowOff>
    </xdr:from>
    <xdr:to>
      <xdr:col>28</xdr:col>
      <xdr:colOff>77881</xdr:colOff>
      <xdr:row>373</xdr:row>
      <xdr:rowOff>74840</xdr:rowOff>
    </xdr:to>
    <xdr:graphicFrame macro="">
      <xdr:nvGraphicFramePr>
        <xdr:cNvPr id="17"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333</xdr:row>
      <xdr:rowOff>0</xdr:rowOff>
    </xdr:from>
    <xdr:to>
      <xdr:col>14</xdr:col>
      <xdr:colOff>2039215</xdr:colOff>
      <xdr:row>373</xdr:row>
      <xdr:rowOff>23813</xdr:rowOff>
    </xdr:to>
    <xdr:graphicFrame macro="">
      <xdr:nvGraphicFramePr>
        <xdr:cNvPr id="16"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3748875</xdr:colOff>
      <xdr:row>338</xdr:row>
      <xdr:rowOff>12333</xdr:rowOff>
    </xdr:from>
    <xdr:to>
      <xdr:col>11</xdr:col>
      <xdr:colOff>4131569</xdr:colOff>
      <xdr:row>352</xdr:row>
      <xdr:rowOff>180494</xdr:rowOff>
    </xdr:to>
    <xdr:grpSp>
      <xdr:nvGrpSpPr>
        <xdr:cNvPr id="3" name="Group 7"/>
        <xdr:cNvGrpSpPr/>
      </xdr:nvGrpSpPr>
      <xdr:grpSpPr>
        <a:xfrm>
          <a:off x="7858232" y="90282119"/>
          <a:ext cx="382694" cy="2835161"/>
          <a:chOff x="16872857" y="61014429"/>
          <a:chExt cx="353786" cy="2898320"/>
        </a:xfrm>
      </xdr:grpSpPr>
      <xdr:sp macro="" textlink="">
        <xdr:nvSpPr>
          <xdr:cNvPr id="4" name="TextBox 2"/>
          <xdr:cNvSpPr txBox="1"/>
        </xdr:nvSpPr>
        <xdr:spPr>
          <a:xfrm>
            <a:off x="16927286" y="63490927"/>
            <a:ext cx="299357" cy="4218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BE" sz="1800" b="1"/>
              <a:t>1</a:t>
            </a:r>
          </a:p>
        </xdr:txBody>
      </xdr:sp>
      <xdr:sp macro="" textlink="">
        <xdr:nvSpPr>
          <xdr:cNvPr id="5" name="TextBox 3"/>
          <xdr:cNvSpPr txBox="1"/>
        </xdr:nvSpPr>
        <xdr:spPr>
          <a:xfrm>
            <a:off x="16913678" y="62701715"/>
            <a:ext cx="299357" cy="4218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BE" sz="1800" b="1"/>
              <a:t>2</a:t>
            </a:r>
          </a:p>
        </xdr:txBody>
      </xdr:sp>
      <xdr:sp macro="" textlink="">
        <xdr:nvSpPr>
          <xdr:cNvPr id="6" name="TextBox 5"/>
          <xdr:cNvSpPr txBox="1"/>
        </xdr:nvSpPr>
        <xdr:spPr>
          <a:xfrm>
            <a:off x="16900070" y="61817250"/>
            <a:ext cx="299357" cy="4218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BE" sz="1800" b="1"/>
              <a:t>3</a:t>
            </a:r>
          </a:p>
        </xdr:txBody>
      </xdr:sp>
      <xdr:sp macro="" textlink="">
        <xdr:nvSpPr>
          <xdr:cNvPr id="7" name="TextBox 6"/>
          <xdr:cNvSpPr txBox="1"/>
        </xdr:nvSpPr>
        <xdr:spPr>
          <a:xfrm>
            <a:off x="16872857" y="61014429"/>
            <a:ext cx="299357" cy="4218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BE" sz="1800" b="1"/>
              <a:t>4</a:t>
            </a:r>
          </a:p>
        </xdr:txBody>
      </xdr:sp>
    </xdr:grpSp>
    <xdr:clientData/>
  </xdr:twoCellAnchor>
  <xdr:twoCellAnchor>
    <xdr:from>
      <xdr:col>20</xdr:col>
      <xdr:colOff>50626</xdr:colOff>
      <xdr:row>339</xdr:row>
      <xdr:rowOff>156883</xdr:rowOff>
    </xdr:from>
    <xdr:to>
      <xdr:col>20</xdr:col>
      <xdr:colOff>683559</xdr:colOff>
      <xdr:row>353</xdr:row>
      <xdr:rowOff>123265</xdr:rowOff>
    </xdr:to>
    <xdr:grpSp>
      <xdr:nvGrpSpPr>
        <xdr:cNvPr id="9" name="Group 17"/>
        <xdr:cNvGrpSpPr/>
      </xdr:nvGrpSpPr>
      <xdr:grpSpPr>
        <a:xfrm>
          <a:off x="20910376" y="90617169"/>
          <a:ext cx="632933" cy="2633382"/>
          <a:chOff x="16872857" y="61014429"/>
          <a:chExt cx="353786" cy="2898320"/>
        </a:xfrm>
      </xdr:grpSpPr>
      <xdr:sp macro="" textlink="">
        <xdr:nvSpPr>
          <xdr:cNvPr id="10" name="TextBox 18"/>
          <xdr:cNvSpPr txBox="1"/>
        </xdr:nvSpPr>
        <xdr:spPr>
          <a:xfrm>
            <a:off x="16927286" y="63490927"/>
            <a:ext cx="299357" cy="4218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BE" sz="1800" b="1"/>
              <a:t>1</a:t>
            </a:r>
          </a:p>
        </xdr:txBody>
      </xdr:sp>
      <xdr:sp macro="" textlink="">
        <xdr:nvSpPr>
          <xdr:cNvPr id="11" name="TextBox 19"/>
          <xdr:cNvSpPr txBox="1"/>
        </xdr:nvSpPr>
        <xdr:spPr>
          <a:xfrm>
            <a:off x="16913678" y="62701715"/>
            <a:ext cx="299357" cy="4218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BE" sz="1800" b="1"/>
              <a:t>2</a:t>
            </a:r>
          </a:p>
        </xdr:txBody>
      </xdr:sp>
      <xdr:sp macro="" textlink="">
        <xdr:nvSpPr>
          <xdr:cNvPr id="12" name="TextBox 20"/>
          <xdr:cNvSpPr txBox="1"/>
        </xdr:nvSpPr>
        <xdr:spPr>
          <a:xfrm>
            <a:off x="16900070" y="61817250"/>
            <a:ext cx="299357" cy="4218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BE" sz="1800" b="1"/>
              <a:t>3</a:t>
            </a:r>
          </a:p>
        </xdr:txBody>
      </xdr:sp>
      <xdr:sp macro="" textlink="">
        <xdr:nvSpPr>
          <xdr:cNvPr id="13" name="TextBox 21"/>
          <xdr:cNvSpPr txBox="1"/>
        </xdr:nvSpPr>
        <xdr:spPr>
          <a:xfrm>
            <a:off x="16872857" y="61014429"/>
            <a:ext cx="299357" cy="4218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BE" sz="1800" b="1"/>
              <a:t>4</a:t>
            </a:r>
          </a:p>
        </xdr:txBody>
      </xdr:sp>
    </xdr:grpSp>
    <xdr:clientData/>
  </xdr:twoCellAnchor>
  <xdr:twoCellAnchor>
    <xdr:from>
      <xdr:col>6</xdr:col>
      <xdr:colOff>455840</xdr:colOff>
      <xdr:row>417</xdr:row>
      <xdr:rowOff>44223</xdr:rowOff>
    </xdr:from>
    <xdr:to>
      <xdr:col>9</xdr:col>
      <xdr:colOff>289152</xdr:colOff>
      <xdr:row>420</xdr:row>
      <xdr:rowOff>176893</xdr:rowOff>
    </xdr:to>
    <xdr:sp macro="" textlink="">
      <xdr:nvSpPr>
        <xdr:cNvPr id="14" name="Right Arrow 22"/>
        <xdr:cNvSpPr/>
      </xdr:nvSpPr>
      <xdr:spPr>
        <a:xfrm>
          <a:off x="4113440" y="71481723"/>
          <a:ext cx="1662112" cy="70417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BE" sz="1100"/>
        </a:p>
      </xdr:txBody>
    </xdr:sp>
    <xdr:clientData/>
  </xdr:twoCellAnchor>
  <xdr:twoCellAnchor>
    <xdr:from>
      <xdr:col>6</xdr:col>
      <xdr:colOff>462643</xdr:colOff>
      <xdr:row>456</xdr:row>
      <xdr:rowOff>27215</xdr:rowOff>
    </xdr:from>
    <xdr:to>
      <xdr:col>9</xdr:col>
      <xdr:colOff>295955</xdr:colOff>
      <xdr:row>459</xdr:row>
      <xdr:rowOff>159885</xdr:rowOff>
    </xdr:to>
    <xdr:sp macro="" textlink="">
      <xdr:nvSpPr>
        <xdr:cNvPr id="15" name="Right Arrow 23"/>
        <xdr:cNvSpPr/>
      </xdr:nvSpPr>
      <xdr:spPr>
        <a:xfrm>
          <a:off x="4120243" y="78894215"/>
          <a:ext cx="1662112" cy="70417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endParaRPr lang="fr-BE" sz="1100">
            <a:solidFill>
              <a:schemeClr val="lt1"/>
            </a:solidFill>
            <a:latin typeface="+mn-lt"/>
            <a:ea typeface="+mn-ea"/>
            <a:cs typeface="+mn-cs"/>
          </a:endParaRPr>
        </a:p>
      </xdr:txBody>
    </xdr:sp>
    <xdr:clientData/>
  </xdr:twoCellAnchor>
  <xdr:twoCellAnchor>
    <xdr:from>
      <xdr:col>0</xdr:col>
      <xdr:colOff>0</xdr:colOff>
      <xdr:row>375</xdr:row>
      <xdr:rowOff>48304</xdr:rowOff>
    </xdr:from>
    <xdr:to>
      <xdr:col>13</xdr:col>
      <xdr:colOff>2063523</xdr:colOff>
      <xdr:row>466</xdr:row>
      <xdr:rowOff>129946</xdr:rowOff>
    </xdr:to>
    <xdr:sp macro="" textlink="">
      <xdr:nvSpPr>
        <xdr:cNvPr id="18" name="Rectangle 17"/>
        <xdr:cNvSpPr/>
      </xdr:nvSpPr>
      <xdr:spPr>
        <a:xfrm>
          <a:off x="0" y="95717404"/>
          <a:ext cx="13150623" cy="17493342"/>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BE" sz="1100"/>
        </a:p>
      </xdr:txBody>
    </xdr:sp>
    <xdr:clientData/>
  </xdr:twoCellAnchor>
  <xdr:oneCellAnchor>
    <xdr:from>
      <xdr:col>12</xdr:col>
      <xdr:colOff>1853774</xdr:colOff>
      <xdr:row>332</xdr:row>
      <xdr:rowOff>168086</xdr:rowOff>
    </xdr:from>
    <xdr:ext cx="2250636" cy="707573"/>
    <xdr:sp macro="" textlink="">
      <xdr:nvSpPr>
        <xdr:cNvPr id="19" name="ZoneTexte 18"/>
        <xdr:cNvSpPr txBox="1"/>
      </xdr:nvSpPr>
      <xdr:spPr>
        <a:xfrm>
          <a:off x="10738001" y="92491313"/>
          <a:ext cx="2250636" cy="7075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fr-BE" sz="3200" b="0" i="0" u="none" strike="noStrike" kern="1200" baseline="0">
            <a:solidFill>
              <a:srgbClr val="000000"/>
            </a:solidFill>
            <a:latin typeface="Calibri"/>
            <a:ea typeface="Calibri"/>
            <a:cs typeface="Calibri"/>
          </a:endParaRPr>
        </a:p>
      </xdr:txBody>
    </xdr:sp>
    <xdr:clientData/>
  </xdr:oneCellAnchor>
</xdr:wsDr>
</file>

<file path=xl/drawings/drawing3.xml><?xml version="1.0" encoding="utf-8"?>
<c:userShapes xmlns:c="http://schemas.openxmlformats.org/drawingml/2006/chart">
  <cdr:relSizeAnchor xmlns:cdr="http://schemas.openxmlformats.org/drawingml/2006/chartDrawing">
    <cdr:from>
      <cdr:x>0.22583</cdr:x>
      <cdr:y>0</cdr:y>
    </cdr:from>
    <cdr:to>
      <cdr:x>0.31042</cdr:x>
      <cdr:y>0.09431</cdr:y>
    </cdr:to>
    <cdr:sp macro="" textlink="'4-Materialen gebouwen'!$L$458:$M$459">
      <cdr:nvSpPr>
        <cdr:cNvPr id="3" name="ZoneTexte 19"/>
        <cdr:cNvSpPr txBox="1"/>
      </cdr:nvSpPr>
      <cdr:spPr>
        <a:xfrm xmlns:a="http://schemas.openxmlformats.org/drawingml/2006/main">
          <a:off x="2462557" y="0"/>
          <a:ext cx="922398" cy="72120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fld id="{FD88F76F-BB52-4211-AC44-48A5D2E81607}" type="TxLink">
            <a:rPr lang="en-US" sz="3600" b="1" i="0" u="none" strike="noStrike" kern="1200" baseline="0">
              <a:solidFill>
                <a:srgbClr val="FF0000"/>
              </a:solidFill>
              <a:latin typeface="Calibri"/>
              <a:ea typeface="Calibri"/>
              <a:cs typeface="Calibri"/>
            </a:rPr>
            <a:pPr/>
            <a:t>3</a:t>
          </a:fld>
          <a:endParaRPr lang="fr-BE" sz="3600" b="0" i="0" u="none" strike="noStrike" kern="1200" baseline="0">
            <a:solidFill>
              <a:srgbClr val="000000"/>
            </a:solidFill>
            <a:latin typeface="Calibri"/>
            <a:ea typeface="Calibri"/>
            <a:cs typeface="Calibri"/>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0.49025</cdr:x>
      <cdr:y>0</cdr:y>
    </cdr:from>
    <cdr:to>
      <cdr:x>0.55119</cdr:x>
      <cdr:y>0.08545</cdr:y>
    </cdr:to>
    <cdr:sp macro="" textlink="'4-Materialen gebouwen'!$L$419:$M$420">
      <cdr:nvSpPr>
        <cdr:cNvPr id="2" name="ZoneTexte 19"/>
        <cdr:cNvSpPr txBox="1"/>
      </cdr:nvSpPr>
      <cdr:spPr>
        <a:xfrm xmlns:a="http://schemas.openxmlformats.org/drawingml/2006/main">
          <a:off x="7460867" y="0"/>
          <a:ext cx="927406" cy="65316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fld id="{BAEDFA22-B357-4AB2-BA16-91B603170D13}" type="TxLink">
            <a:rPr lang="en-US" sz="3600" b="1" i="0" u="none" strike="noStrike" kern="1200" baseline="0">
              <a:solidFill>
                <a:srgbClr val="FF0000"/>
              </a:solidFill>
              <a:latin typeface="Calibri"/>
              <a:ea typeface="Calibri"/>
              <a:cs typeface="Calibri"/>
            </a:rPr>
            <a:pPr/>
            <a:t>/</a:t>
          </a:fld>
          <a:endParaRPr lang="fr-BE" sz="3600" b="0" i="0" u="none" strike="noStrike" kern="1200" baseline="0">
            <a:solidFill>
              <a:srgbClr val="000000"/>
            </a:solidFill>
            <a:latin typeface="Calibri"/>
            <a:ea typeface="Calibri"/>
            <a:cs typeface="Calibri"/>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115981</xdr:colOff>
      <xdr:row>34</xdr:row>
      <xdr:rowOff>81244</xdr:rowOff>
    </xdr:from>
    <xdr:to>
      <xdr:col>1</xdr:col>
      <xdr:colOff>554131</xdr:colOff>
      <xdr:row>35</xdr:row>
      <xdr:rowOff>547969</xdr:rowOff>
    </xdr:to>
    <xdr:pic>
      <xdr:nvPicPr>
        <xdr:cNvPr id="2" name="Picture 17"/>
        <xdr:cNvPicPr>
          <a:picLocks noChangeAspect="1" noChangeArrowheads="1"/>
        </xdr:cNvPicPr>
      </xdr:nvPicPr>
      <xdr:blipFill>
        <a:blip xmlns:r="http://schemas.openxmlformats.org/officeDocument/2006/relationships" r:embed="rId1" cstate="print"/>
        <a:srcRect/>
        <a:stretch>
          <a:fillRect/>
        </a:stretch>
      </xdr:blipFill>
      <xdr:spPr bwMode="auto">
        <a:xfrm>
          <a:off x="115981" y="6558244"/>
          <a:ext cx="1047750" cy="295275"/>
        </a:xfrm>
        <a:prstGeom prst="rect">
          <a:avLst/>
        </a:prstGeom>
        <a:noFill/>
        <a:ln w="9525">
          <a:noFill/>
          <a:miter lim="800000"/>
          <a:headEnd/>
          <a:tailEnd/>
        </a:ln>
      </xdr:spPr>
    </xdr:pic>
    <xdr:clientData/>
  </xdr:twoCellAnchor>
  <xdr:twoCellAnchor>
    <xdr:from>
      <xdr:col>0</xdr:col>
      <xdr:colOff>114300</xdr:colOff>
      <xdr:row>38</xdr:row>
      <xdr:rowOff>76200</xdr:rowOff>
    </xdr:from>
    <xdr:to>
      <xdr:col>1</xdr:col>
      <xdr:colOff>552450</xdr:colOff>
      <xdr:row>39</xdr:row>
      <xdr:rowOff>542925</xdr:rowOff>
    </xdr:to>
    <xdr:pic>
      <xdr:nvPicPr>
        <xdr:cNvPr id="3" name="Picture 20"/>
        <xdr:cNvPicPr>
          <a:picLocks noChangeAspect="1" noChangeArrowheads="1"/>
        </xdr:cNvPicPr>
      </xdr:nvPicPr>
      <xdr:blipFill>
        <a:blip xmlns:r="http://schemas.openxmlformats.org/officeDocument/2006/relationships" r:embed="rId2" cstate="print"/>
        <a:srcRect/>
        <a:stretch>
          <a:fillRect/>
        </a:stretch>
      </xdr:blipFill>
      <xdr:spPr bwMode="auto">
        <a:xfrm>
          <a:off x="114300" y="7315200"/>
          <a:ext cx="1047750" cy="304800"/>
        </a:xfrm>
        <a:prstGeom prst="rect">
          <a:avLst/>
        </a:prstGeom>
        <a:noFill/>
        <a:ln w="9525">
          <a:noFill/>
          <a:miter lim="800000"/>
          <a:headEnd/>
          <a:tailEnd/>
        </a:ln>
      </xdr:spPr>
    </xdr:pic>
    <xdr:clientData/>
  </xdr:twoCellAnchor>
  <xdr:twoCellAnchor>
    <xdr:from>
      <xdr:col>0</xdr:col>
      <xdr:colOff>104775</xdr:colOff>
      <xdr:row>66</xdr:row>
      <xdr:rowOff>57150</xdr:rowOff>
    </xdr:from>
    <xdr:to>
      <xdr:col>1</xdr:col>
      <xdr:colOff>542925</xdr:colOff>
      <xdr:row>66</xdr:row>
      <xdr:rowOff>1143000</xdr:rowOff>
    </xdr:to>
    <xdr:pic>
      <xdr:nvPicPr>
        <xdr:cNvPr id="4" name="Picture 23"/>
        <xdr:cNvPicPr>
          <a:picLocks noChangeAspect="1" noChangeArrowheads="1"/>
        </xdr:cNvPicPr>
      </xdr:nvPicPr>
      <xdr:blipFill>
        <a:blip xmlns:r="http://schemas.openxmlformats.org/officeDocument/2006/relationships" r:embed="rId3" cstate="print"/>
        <a:srcRect/>
        <a:stretch>
          <a:fillRect/>
        </a:stretch>
      </xdr:blipFill>
      <xdr:spPr bwMode="auto">
        <a:xfrm>
          <a:off x="104775" y="12630150"/>
          <a:ext cx="1047750" cy="133350"/>
        </a:xfrm>
        <a:prstGeom prst="rect">
          <a:avLst/>
        </a:prstGeom>
        <a:noFill/>
        <a:ln w="9525">
          <a:noFill/>
          <a:miter lim="800000"/>
          <a:headEnd/>
          <a:tailEnd/>
        </a:ln>
      </xdr:spPr>
    </xdr:pic>
    <xdr:clientData/>
  </xdr:twoCellAnchor>
  <xdr:twoCellAnchor>
    <xdr:from>
      <xdr:col>0</xdr:col>
      <xdr:colOff>114300</xdr:colOff>
      <xdr:row>10</xdr:row>
      <xdr:rowOff>66675</xdr:rowOff>
    </xdr:from>
    <xdr:to>
      <xdr:col>1</xdr:col>
      <xdr:colOff>552450</xdr:colOff>
      <xdr:row>11</xdr:row>
      <xdr:rowOff>523875</xdr:rowOff>
    </xdr:to>
    <xdr:pic>
      <xdr:nvPicPr>
        <xdr:cNvPr id="5" name="Picture 12"/>
        <xdr:cNvPicPr>
          <a:picLocks noChangeAspect="1" noChangeArrowheads="1"/>
        </xdr:cNvPicPr>
      </xdr:nvPicPr>
      <xdr:blipFill>
        <a:blip xmlns:r="http://schemas.openxmlformats.org/officeDocument/2006/relationships" r:embed="rId4" cstate="print"/>
        <a:srcRect/>
        <a:stretch>
          <a:fillRect/>
        </a:stretch>
      </xdr:blipFill>
      <xdr:spPr bwMode="auto">
        <a:xfrm>
          <a:off x="114300" y="1971675"/>
          <a:ext cx="1047750" cy="314325"/>
        </a:xfrm>
        <a:prstGeom prst="rect">
          <a:avLst/>
        </a:prstGeom>
        <a:noFill/>
        <a:ln w="9525">
          <a:noFill/>
          <a:miter lim="800000"/>
          <a:headEnd/>
          <a:tailEnd/>
        </a:ln>
      </xdr:spPr>
    </xdr:pic>
    <xdr:clientData/>
  </xdr:twoCellAnchor>
  <xdr:twoCellAnchor>
    <xdr:from>
      <xdr:col>0</xdr:col>
      <xdr:colOff>114300</xdr:colOff>
      <xdr:row>12</xdr:row>
      <xdr:rowOff>66675</xdr:rowOff>
    </xdr:from>
    <xdr:to>
      <xdr:col>1</xdr:col>
      <xdr:colOff>552450</xdr:colOff>
      <xdr:row>13</xdr:row>
      <xdr:rowOff>523875</xdr:rowOff>
    </xdr:to>
    <xdr:pic>
      <xdr:nvPicPr>
        <xdr:cNvPr id="6" name="Picture 12"/>
        <xdr:cNvPicPr>
          <a:picLocks noChangeAspect="1" noChangeArrowheads="1"/>
        </xdr:cNvPicPr>
      </xdr:nvPicPr>
      <xdr:blipFill>
        <a:blip xmlns:r="http://schemas.openxmlformats.org/officeDocument/2006/relationships" r:embed="rId4" cstate="print"/>
        <a:srcRect/>
        <a:stretch>
          <a:fillRect/>
        </a:stretch>
      </xdr:blipFill>
      <xdr:spPr bwMode="auto">
        <a:xfrm>
          <a:off x="114300" y="2352675"/>
          <a:ext cx="1047750" cy="314325"/>
        </a:xfrm>
        <a:prstGeom prst="rect">
          <a:avLst/>
        </a:prstGeom>
        <a:noFill/>
        <a:ln w="9525">
          <a:noFill/>
          <a:miter lim="800000"/>
          <a:headEnd/>
          <a:tailEnd/>
        </a:ln>
      </xdr:spPr>
    </xdr:pic>
    <xdr:clientData/>
  </xdr:twoCellAnchor>
  <xdr:twoCellAnchor>
    <xdr:from>
      <xdr:col>0</xdr:col>
      <xdr:colOff>123825</xdr:colOff>
      <xdr:row>67</xdr:row>
      <xdr:rowOff>76200</xdr:rowOff>
    </xdr:from>
    <xdr:to>
      <xdr:col>1</xdr:col>
      <xdr:colOff>561975</xdr:colOff>
      <xdr:row>68</xdr:row>
      <xdr:rowOff>542925</xdr:rowOff>
    </xdr:to>
    <xdr:pic>
      <xdr:nvPicPr>
        <xdr:cNvPr id="7" name="Picture 23"/>
        <xdr:cNvPicPr>
          <a:picLocks noChangeAspect="1" noChangeArrowheads="1"/>
        </xdr:cNvPicPr>
      </xdr:nvPicPr>
      <xdr:blipFill>
        <a:blip xmlns:r="http://schemas.openxmlformats.org/officeDocument/2006/relationships" r:embed="rId3" cstate="print"/>
        <a:srcRect/>
        <a:stretch>
          <a:fillRect/>
        </a:stretch>
      </xdr:blipFill>
      <xdr:spPr bwMode="auto">
        <a:xfrm>
          <a:off x="123825" y="12839700"/>
          <a:ext cx="1047750" cy="304800"/>
        </a:xfrm>
        <a:prstGeom prst="rect">
          <a:avLst/>
        </a:prstGeom>
        <a:noFill/>
        <a:ln w="9525">
          <a:noFill/>
          <a:miter lim="800000"/>
          <a:headEnd/>
          <a:tailEnd/>
        </a:ln>
      </xdr:spPr>
    </xdr:pic>
    <xdr:clientData/>
  </xdr:twoCellAnchor>
  <xdr:twoCellAnchor>
    <xdr:from>
      <xdr:col>0</xdr:col>
      <xdr:colOff>142875</xdr:colOff>
      <xdr:row>69</xdr:row>
      <xdr:rowOff>76200</xdr:rowOff>
    </xdr:from>
    <xdr:to>
      <xdr:col>1</xdr:col>
      <xdr:colOff>581025</xdr:colOff>
      <xdr:row>70</xdr:row>
      <xdr:rowOff>542925</xdr:rowOff>
    </xdr:to>
    <xdr:pic>
      <xdr:nvPicPr>
        <xdr:cNvPr id="8" name="Picture 23"/>
        <xdr:cNvPicPr>
          <a:picLocks noChangeAspect="1" noChangeArrowheads="1"/>
        </xdr:cNvPicPr>
      </xdr:nvPicPr>
      <xdr:blipFill>
        <a:blip xmlns:r="http://schemas.openxmlformats.org/officeDocument/2006/relationships" r:embed="rId3" cstate="print"/>
        <a:srcRect/>
        <a:stretch>
          <a:fillRect/>
        </a:stretch>
      </xdr:blipFill>
      <xdr:spPr bwMode="auto">
        <a:xfrm>
          <a:off x="142875" y="13220700"/>
          <a:ext cx="1047750" cy="304800"/>
        </a:xfrm>
        <a:prstGeom prst="rect">
          <a:avLst/>
        </a:prstGeom>
        <a:noFill/>
        <a:ln w="9525">
          <a:noFill/>
          <a:miter lim="800000"/>
          <a:headEnd/>
          <a:tailEnd/>
        </a:ln>
      </xdr:spPr>
    </xdr:pic>
    <xdr:clientData/>
  </xdr:twoCellAnchor>
  <xdr:twoCellAnchor editAs="oneCell">
    <xdr:from>
      <xdr:col>17</xdr:col>
      <xdr:colOff>93569</xdr:colOff>
      <xdr:row>120</xdr:row>
      <xdr:rowOff>65554</xdr:rowOff>
    </xdr:from>
    <xdr:to>
      <xdr:col>34</xdr:col>
      <xdr:colOff>550769</xdr:colOff>
      <xdr:row>176</xdr:row>
      <xdr:rowOff>115420</xdr:rowOff>
    </xdr:to>
    <xdr:pic>
      <xdr:nvPicPr>
        <xdr:cNvPr id="9" name="Picture 1"/>
        <xdr:cNvPicPr>
          <a:picLocks noChangeAspect="1" noChangeArrowheads="1"/>
        </xdr:cNvPicPr>
      </xdr:nvPicPr>
      <xdr:blipFill>
        <a:blip xmlns:r="http://schemas.openxmlformats.org/officeDocument/2006/relationships" r:embed="rId5" cstate="print"/>
        <a:srcRect/>
        <a:stretch>
          <a:fillRect/>
        </a:stretch>
      </xdr:blipFill>
      <xdr:spPr bwMode="auto">
        <a:xfrm>
          <a:off x="10456769" y="22925554"/>
          <a:ext cx="10820400" cy="10717866"/>
        </a:xfrm>
        <a:prstGeom prst="rect">
          <a:avLst/>
        </a:prstGeom>
        <a:noFill/>
        <a:ln w="9525">
          <a:noFill/>
          <a:miter lim="800000"/>
          <a:headEnd/>
          <a:tailEnd/>
        </a:ln>
      </xdr:spPr>
    </xdr:pic>
    <xdr:clientData/>
  </xdr:twoCellAnchor>
  <xdr:twoCellAnchor>
    <xdr:from>
      <xdr:col>3</xdr:col>
      <xdr:colOff>66675</xdr:colOff>
      <xdr:row>4</xdr:row>
      <xdr:rowOff>19050</xdr:rowOff>
    </xdr:from>
    <xdr:to>
      <xdr:col>3</xdr:col>
      <xdr:colOff>609600</xdr:colOff>
      <xdr:row>4</xdr:row>
      <xdr:rowOff>561975</xdr:rowOff>
    </xdr:to>
    <xdr:pic>
      <xdr:nvPicPr>
        <xdr:cNvPr id="10" name="Picture 1"/>
        <xdr:cNvPicPr>
          <a:picLocks noChangeAspect="1" noChangeArrowheads="1"/>
        </xdr:cNvPicPr>
      </xdr:nvPicPr>
      <xdr:blipFill>
        <a:blip xmlns:r="http://schemas.openxmlformats.org/officeDocument/2006/relationships" r:embed="rId6" cstate="print"/>
        <a:srcRect/>
        <a:stretch>
          <a:fillRect/>
        </a:stretch>
      </xdr:blipFill>
      <xdr:spPr bwMode="auto">
        <a:xfrm>
          <a:off x="1895475" y="781050"/>
          <a:ext cx="542925" cy="171450"/>
        </a:xfrm>
        <a:prstGeom prst="rect">
          <a:avLst/>
        </a:prstGeom>
        <a:noFill/>
        <a:ln w="9525">
          <a:noFill/>
          <a:miter lim="800000"/>
          <a:headEnd/>
          <a:tailEnd/>
        </a:ln>
      </xdr:spPr>
    </xdr:pic>
    <xdr:clientData/>
  </xdr:twoCellAnchor>
  <xdr:twoCellAnchor>
    <xdr:from>
      <xdr:col>2</xdr:col>
      <xdr:colOff>66675</xdr:colOff>
      <xdr:row>6</xdr:row>
      <xdr:rowOff>19050</xdr:rowOff>
    </xdr:from>
    <xdr:to>
      <xdr:col>2</xdr:col>
      <xdr:colOff>609600</xdr:colOff>
      <xdr:row>6</xdr:row>
      <xdr:rowOff>561975</xdr:rowOff>
    </xdr:to>
    <xdr:pic>
      <xdr:nvPicPr>
        <xdr:cNvPr id="11" name="Picture 2"/>
        <xdr:cNvPicPr>
          <a:picLocks noChangeAspect="1" noChangeArrowheads="1"/>
        </xdr:cNvPicPr>
      </xdr:nvPicPr>
      <xdr:blipFill>
        <a:blip xmlns:r="http://schemas.openxmlformats.org/officeDocument/2006/relationships" r:embed="rId7" cstate="print"/>
        <a:srcRect/>
        <a:stretch>
          <a:fillRect/>
        </a:stretch>
      </xdr:blipFill>
      <xdr:spPr bwMode="auto">
        <a:xfrm>
          <a:off x="1285875" y="1162050"/>
          <a:ext cx="542925" cy="171450"/>
        </a:xfrm>
        <a:prstGeom prst="rect">
          <a:avLst/>
        </a:prstGeom>
        <a:noFill/>
        <a:ln w="9525">
          <a:noFill/>
          <a:miter lim="800000"/>
          <a:headEnd/>
          <a:tailEnd/>
        </a:ln>
      </xdr:spPr>
    </xdr:pic>
    <xdr:clientData/>
  </xdr:twoCellAnchor>
  <xdr:twoCellAnchor>
    <xdr:from>
      <xdr:col>3</xdr:col>
      <xdr:colOff>57150</xdr:colOff>
      <xdr:row>8</xdr:row>
      <xdr:rowOff>19050</xdr:rowOff>
    </xdr:from>
    <xdr:to>
      <xdr:col>3</xdr:col>
      <xdr:colOff>600075</xdr:colOff>
      <xdr:row>8</xdr:row>
      <xdr:rowOff>561975</xdr:rowOff>
    </xdr:to>
    <xdr:pic>
      <xdr:nvPicPr>
        <xdr:cNvPr id="12" name="Picture 3"/>
        <xdr:cNvPicPr>
          <a:picLocks noChangeAspect="1" noChangeArrowheads="1"/>
        </xdr:cNvPicPr>
      </xdr:nvPicPr>
      <xdr:blipFill>
        <a:blip xmlns:r="http://schemas.openxmlformats.org/officeDocument/2006/relationships" r:embed="rId8" cstate="print"/>
        <a:srcRect/>
        <a:stretch>
          <a:fillRect/>
        </a:stretch>
      </xdr:blipFill>
      <xdr:spPr bwMode="auto">
        <a:xfrm>
          <a:off x="1885950" y="1543050"/>
          <a:ext cx="542925" cy="171450"/>
        </a:xfrm>
        <a:prstGeom prst="rect">
          <a:avLst/>
        </a:prstGeom>
        <a:noFill/>
        <a:ln w="9525">
          <a:noFill/>
          <a:miter lim="800000"/>
          <a:headEnd/>
          <a:tailEnd/>
        </a:ln>
      </xdr:spPr>
    </xdr:pic>
    <xdr:clientData/>
  </xdr:twoCellAnchor>
  <xdr:twoCellAnchor>
    <xdr:from>
      <xdr:col>2</xdr:col>
      <xdr:colOff>57150</xdr:colOff>
      <xdr:row>10</xdr:row>
      <xdr:rowOff>19050</xdr:rowOff>
    </xdr:from>
    <xdr:to>
      <xdr:col>2</xdr:col>
      <xdr:colOff>600075</xdr:colOff>
      <xdr:row>10</xdr:row>
      <xdr:rowOff>561975</xdr:rowOff>
    </xdr:to>
    <xdr:pic>
      <xdr:nvPicPr>
        <xdr:cNvPr id="13" name="Picture 2"/>
        <xdr:cNvPicPr>
          <a:picLocks noChangeAspect="1" noChangeArrowheads="1"/>
        </xdr:cNvPicPr>
      </xdr:nvPicPr>
      <xdr:blipFill>
        <a:blip xmlns:r="http://schemas.openxmlformats.org/officeDocument/2006/relationships" r:embed="rId9" cstate="print"/>
        <a:srcRect/>
        <a:stretch>
          <a:fillRect/>
        </a:stretch>
      </xdr:blipFill>
      <xdr:spPr bwMode="auto">
        <a:xfrm>
          <a:off x="1276350" y="1924050"/>
          <a:ext cx="542925" cy="171450"/>
        </a:xfrm>
        <a:prstGeom prst="rect">
          <a:avLst/>
        </a:prstGeom>
        <a:noFill/>
        <a:ln w="9525">
          <a:noFill/>
          <a:miter lim="800000"/>
          <a:headEnd/>
          <a:tailEnd/>
        </a:ln>
      </xdr:spPr>
    </xdr:pic>
    <xdr:clientData/>
  </xdr:twoCellAnchor>
  <xdr:twoCellAnchor>
    <xdr:from>
      <xdr:col>3</xdr:col>
      <xdr:colOff>66675</xdr:colOff>
      <xdr:row>11</xdr:row>
      <xdr:rowOff>9525</xdr:rowOff>
    </xdr:from>
    <xdr:to>
      <xdr:col>3</xdr:col>
      <xdr:colOff>609600</xdr:colOff>
      <xdr:row>11</xdr:row>
      <xdr:rowOff>552450</xdr:rowOff>
    </xdr:to>
    <xdr:pic>
      <xdr:nvPicPr>
        <xdr:cNvPr id="14" name="Picture 1"/>
        <xdr:cNvPicPr>
          <a:picLocks noChangeAspect="1" noChangeArrowheads="1"/>
        </xdr:cNvPicPr>
      </xdr:nvPicPr>
      <xdr:blipFill>
        <a:blip xmlns:r="http://schemas.openxmlformats.org/officeDocument/2006/relationships" r:embed="rId6" cstate="print"/>
        <a:srcRect/>
        <a:stretch>
          <a:fillRect/>
        </a:stretch>
      </xdr:blipFill>
      <xdr:spPr bwMode="auto">
        <a:xfrm>
          <a:off x="1895475" y="2105025"/>
          <a:ext cx="542925" cy="180975"/>
        </a:xfrm>
        <a:prstGeom prst="rect">
          <a:avLst/>
        </a:prstGeom>
        <a:noFill/>
        <a:ln w="9525">
          <a:noFill/>
          <a:miter lim="800000"/>
          <a:headEnd/>
          <a:tailEnd/>
        </a:ln>
      </xdr:spPr>
    </xdr:pic>
    <xdr:clientData/>
  </xdr:twoCellAnchor>
  <xdr:twoCellAnchor>
    <xdr:from>
      <xdr:col>2</xdr:col>
      <xdr:colOff>57150</xdr:colOff>
      <xdr:row>12</xdr:row>
      <xdr:rowOff>19050</xdr:rowOff>
    </xdr:from>
    <xdr:to>
      <xdr:col>2</xdr:col>
      <xdr:colOff>600075</xdr:colOff>
      <xdr:row>12</xdr:row>
      <xdr:rowOff>561975</xdr:rowOff>
    </xdr:to>
    <xdr:pic>
      <xdr:nvPicPr>
        <xdr:cNvPr id="15" name="Picture 2"/>
        <xdr:cNvPicPr>
          <a:picLocks noChangeAspect="1" noChangeArrowheads="1"/>
        </xdr:cNvPicPr>
      </xdr:nvPicPr>
      <xdr:blipFill>
        <a:blip xmlns:r="http://schemas.openxmlformats.org/officeDocument/2006/relationships" r:embed="rId7" cstate="print"/>
        <a:srcRect/>
        <a:stretch>
          <a:fillRect/>
        </a:stretch>
      </xdr:blipFill>
      <xdr:spPr bwMode="auto">
        <a:xfrm>
          <a:off x="1276350" y="2305050"/>
          <a:ext cx="542925" cy="171450"/>
        </a:xfrm>
        <a:prstGeom prst="rect">
          <a:avLst/>
        </a:prstGeom>
        <a:noFill/>
        <a:ln w="9525">
          <a:noFill/>
          <a:miter lim="800000"/>
          <a:headEnd/>
          <a:tailEnd/>
        </a:ln>
      </xdr:spPr>
    </xdr:pic>
    <xdr:clientData/>
  </xdr:twoCellAnchor>
  <xdr:twoCellAnchor>
    <xdr:from>
      <xdr:col>3</xdr:col>
      <xdr:colOff>57150</xdr:colOff>
      <xdr:row>13</xdr:row>
      <xdr:rowOff>19050</xdr:rowOff>
    </xdr:from>
    <xdr:to>
      <xdr:col>3</xdr:col>
      <xdr:colOff>600075</xdr:colOff>
      <xdr:row>13</xdr:row>
      <xdr:rowOff>561975</xdr:rowOff>
    </xdr:to>
    <xdr:pic>
      <xdr:nvPicPr>
        <xdr:cNvPr id="16" name="Picture 3"/>
        <xdr:cNvPicPr>
          <a:picLocks noChangeAspect="1" noChangeArrowheads="1"/>
        </xdr:cNvPicPr>
      </xdr:nvPicPr>
      <xdr:blipFill>
        <a:blip xmlns:r="http://schemas.openxmlformats.org/officeDocument/2006/relationships" r:embed="rId8" cstate="print"/>
        <a:srcRect/>
        <a:stretch>
          <a:fillRect/>
        </a:stretch>
      </xdr:blipFill>
      <xdr:spPr bwMode="auto">
        <a:xfrm>
          <a:off x="1885950" y="2495550"/>
          <a:ext cx="542925" cy="171450"/>
        </a:xfrm>
        <a:prstGeom prst="rect">
          <a:avLst/>
        </a:prstGeom>
        <a:noFill/>
        <a:ln w="9525">
          <a:noFill/>
          <a:miter lim="800000"/>
          <a:headEnd/>
          <a:tailEnd/>
        </a:ln>
      </xdr:spPr>
    </xdr:pic>
    <xdr:clientData/>
  </xdr:twoCellAnchor>
  <xdr:twoCellAnchor>
    <xdr:from>
      <xdr:col>2</xdr:col>
      <xdr:colOff>47625</xdr:colOff>
      <xdr:row>14</xdr:row>
      <xdr:rowOff>19050</xdr:rowOff>
    </xdr:from>
    <xdr:to>
      <xdr:col>2</xdr:col>
      <xdr:colOff>590550</xdr:colOff>
      <xdr:row>14</xdr:row>
      <xdr:rowOff>561975</xdr:rowOff>
    </xdr:to>
    <xdr:pic>
      <xdr:nvPicPr>
        <xdr:cNvPr id="17" name="Picture 2"/>
        <xdr:cNvPicPr>
          <a:picLocks noChangeAspect="1" noChangeArrowheads="1"/>
        </xdr:cNvPicPr>
      </xdr:nvPicPr>
      <xdr:blipFill>
        <a:blip xmlns:r="http://schemas.openxmlformats.org/officeDocument/2006/relationships" r:embed="rId9" cstate="print"/>
        <a:srcRect/>
        <a:stretch>
          <a:fillRect/>
        </a:stretch>
      </xdr:blipFill>
      <xdr:spPr bwMode="auto">
        <a:xfrm>
          <a:off x="1266825" y="2686050"/>
          <a:ext cx="542925" cy="171450"/>
        </a:xfrm>
        <a:prstGeom prst="rect">
          <a:avLst/>
        </a:prstGeom>
        <a:noFill/>
        <a:ln w="9525">
          <a:noFill/>
          <a:miter lim="800000"/>
          <a:headEnd/>
          <a:tailEnd/>
        </a:ln>
      </xdr:spPr>
    </xdr:pic>
    <xdr:clientData/>
  </xdr:twoCellAnchor>
  <xdr:twoCellAnchor>
    <xdr:from>
      <xdr:col>3</xdr:col>
      <xdr:colOff>57150</xdr:colOff>
      <xdr:row>16</xdr:row>
      <xdr:rowOff>19050</xdr:rowOff>
    </xdr:from>
    <xdr:to>
      <xdr:col>3</xdr:col>
      <xdr:colOff>600075</xdr:colOff>
      <xdr:row>16</xdr:row>
      <xdr:rowOff>561975</xdr:rowOff>
    </xdr:to>
    <xdr:pic>
      <xdr:nvPicPr>
        <xdr:cNvPr id="18" name="Picture 1"/>
        <xdr:cNvPicPr>
          <a:picLocks noChangeAspect="1" noChangeArrowheads="1"/>
        </xdr:cNvPicPr>
      </xdr:nvPicPr>
      <xdr:blipFill>
        <a:blip xmlns:r="http://schemas.openxmlformats.org/officeDocument/2006/relationships" r:embed="rId6" cstate="print"/>
        <a:srcRect/>
        <a:stretch>
          <a:fillRect/>
        </a:stretch>
      </xdr:blipFill>
      <xdr:spPr bwMode="auto">
        <a:xfrm>
          <a:off x="1885950" y="3067050"/>
          <a:ext cx="542925" cy="171450"/>
        </a:xfrm>
        <a:prstGeom prst="rect">
          <a:avLst/>
        </a:prstGeom>
        <a:noFill/>
        <a:ln w="9525">
          <a:noFill/>
          <a:miter lim="800000"/>
          <a:headEnd/>
          <a:tailEnd/>
        </a:ln>
      </xdr:spPr>
    </xdr:pic>
    <xdr:clientData/>
  </xdr:twoCellAnchor>
  <xdr:twoCellAnchor>
    <xdr:from>
      <xdr:col>2</xdr:col>
      <xdr:colOff>57150</xdr:colOff>
      <xdr:row>18</xdr:row>
      <xdr:rowOff>19050</xdr:rowOff>
    </xdr:from>
    <xdr:to>
      <xdr:col>2</xdr:col>
      <xdr:colOff>600075</xdr:colOff>
      <xdr:row>18</xdr:row>
      <xdr:rowOff>561975</xdr:rowOff>
    </xdr:to>
    <xdr:pic>
      <xdr:nvPicPr>
        <xdr:cNvPr id="19" name="Picture 2"/>
        <xdr:cNvPicPr>
          <a:picLocks noChangeAspect="1" noChangeArrowheads="1"/>
        </xdr:cNvPicPr>
      </xdr:nvPicPr>
      <xdr:blipFill>
        <a:blip xmlns:r="http://schemas.openxmlformats.org/officeDocument/2006/relationships" r:embed="rId7" cstate="print"/>
        <a:srcRect/>
        <a:stretch>
          <a:fillRect/>
        </a:stretch>
      </xdr:blipFill>
      <xdr:spPr bwMode="auto">
        <a:xfrm>
          <a:off x="1276350" y="3448050"/>
          <a:ext cx="542925" cy="171450"/>
        </a:xfrm>
        <a:prstGeom prst="rect">
          <a:avLst/>
        </a:prstGeom>
        <a:noFill/>
        <a:ln w="9525">
          <a:noFill/>
          <a:miter lim="800000"/>
          <a:headEnd/>
          <a:tailEnd/>
        </a:ln>
      </xdr:spPr>
    </xdr:pic>
    <xdr:clientData/>
  </xdr:twoCellAnchor>
  <xdr:twoCellAnchor>
    <xdr:from>
      <xdr:col>3</xdr:col>
      <xdr:colOff>57150</xdr:colOff>
      <xdr:row>20</xdr:row>
      <xdr:rowOff>9525</xdr:rowOff>
    </xdr:from>
    <xdr:to>
      <xdr:col>3</xdr:col>
      <xdr:colOff>600075</xdr:colOff>
      <xdr:row>20</xdr:row>
      <xdr:rowOff>552450</xdr:rowOff>
    </xdr:to>
    <xdr:pic>
      <xdr:nvPicPr>
        <xdr:cNvPr id="20" name="Picture 3"/>
        <xdr:cNvPicPr>
          <a:picLocks noChangeAspect="1" noChangeArrowheads="1"/>
        </xdr:cNvPicPr>
      </xdr:nvPicPr>
      <xdr:blipFill>
        <a:blip xmlns:r="http://schemas.openxmlformats.org/officeDocument/2006/relationships" r:embed="rId8" cstate="print"/>
        <a:srcRect/>
        <a:stretch>
          <a:fillRect/>
        </a:stretch>
      </xdr:blipFill>
      <xdr:spPr bwMode="auto">
        <a:xfrm>
          <a:off x="1885950" y="3819525"/>
          <a:ext cx="542925" cy="180975"/>
        </a:xfrm>
        <a:prstGeom prst="rect">
          <a:avLst/>
        </a:prstGeom>
        <a:noFill/>
        <a:ln w="9525">
          <a:noFill/>
          <a:miter lim="800000"/>
          <a:headEnd/>
          <a:tailEnd/>
        </a:ln>
      </xdr:spPr>
    </xdr:pic>
    <xdr:clientData/>
  </xdr:twoCellAnchor>
  <xdr:twoCellAnchor>
    <xdr:from>
      <xdr:col>2</xdr:col>
      <xdr:colOff>47625</xdr:colOff>
      <xdr:row>22</xdr:row>
      <xdr:rowOff>19050</xdr:rowOff>
    </xdr:from>
    <xdr:to>
      <xdr:col>2</xdr:col>
      <xdr:colOff>590550</xdr:colOff>
      <xdr:row>22</xdr:row>
      <xdr:rowOff>561975</xdr:rowOff>
    </xdr:to>
    <xdr:pic>
      <xdr:nvPicPr>
        <xdr:cNvPr id="21" name="Picture 2"/>
        <xdr:cNvPicPr>
          <a:picLocks noChangeAspect="1" noChangeArrowheads="1"/>
        </xdr:cNvPicPr>
      </xdr:nvPicPr>
      <xdr:blipFill>
        <a:blip xmlns:r="http://schemas.openxmlformats.org/officeDocument/2006/relationships" r:embed="rId9" cstate="print"/>
        <a:srcRect/>
        <a:stretch>
          <a:fillRect/>
        </a:stretch>
      </xdr:blipFill>
      <xdr:spPr bwMode="auto">
        <a:xfrm>
          <a:off x="1266825" y="4210050"/>
          <a:ext cx="542925" cy="171450"/>
        </a:xfrm>
        <a:prstGeom prst="rect">
          <a:avLst/>
        </a:prstGeom>
        <a:noFill/>
        <a:ln w="9525">
          <a:noFill/>
          <a:miter lim="800000"/>
          <a:headEnd/>
          <a:tailEnd/>
        </a:ln>
      </xdr:spPr>
    </xdr:pic>
    <xdr:clientData/>
  </xdr:twoCellAnchor>
  <xdr:twoCellAnchor>
    <xdr:from>
      <xdr:col>3</xdr:col>
      <xdr:colOff>57150</xdr:colOff>
      <xdr:row>24</xdr:row>
      <xdr:rowOff>9525</xdr:rowOff>
    </xdr:from>
    <xdr:to>
      <xdr:col>3</xdr:col>
      <xdr:colOff>600075</xdr:colOff>
      <xdr:row>24</xdr:row>
      <xdr:rowOff>552450</xdr:rowOff>
    </xdr:to>
    <xdr:pic>
      <xdr:nvPicPr>
        <xdr:cNvPr id="22" name="Picture 1"/>
        <xdr:cNvPicPr>
          <a:picLocks noChangeAspect="1" noChangeArrowheads="1"/>
        </xdr:cNvPicPr>
      </xdr:nvPicPr>
      <xdr:blipFill>
        <a:blip xmlns:r="http://schemas.openxmlformats.org/officeDocument/2006/relationships" r:embed="rId6" cstate="print"/>
        <a:srcRect/>
        <a:stretch>
          <a:fillRect/>
        </a:stretch>
      </xdr:blipFill>
      <xdr:spPr bwMode="auto">
        <a:xfrm>
          <a:off x="1885950" y="4581525"/>
          <a:ext cx="542925" cy="180975"/>
        </a:xfrm>
        <a:prstGeom prst="rect">
          <a:avLst/>
        </a:prstGeom>
        <a:noFill/>
        <a:ln w="9525">
          <a:noFill/>
          <a:miter lim="800000"/>
          <a:headEnd/>
          <a:tailEnd/>
        </a:ln>
      </xdr:spPr>
    </xdr:pic>
    <xdr:clientData/>
  </xdr:twoCellAnchor>
  <xdr:twoCellAnchor>
    <xdr:from>
      <xdr:col>2</xdr:col>
      <xdr:colOff>57150</xdr:colOff>
      <xdr:row>26</xdr:row>
      <xdr:rowOff>19050</xdr:rowOff>
    </xdr:from>
    <xdr:to>
      <xdr:col>2</xdr:col>
      <xdr:colOff>600075</xdr:colOff>
      <xdr:row>26</xdr:row>
      <xdr:rowOff>561975</xdr:rowOff>
    </xdr:to>
    <xdr:pic>
      <xdr:nvPicPr>
        <xdr:cNvPr id="23" name="Picture 2"/>
        <xdr:cNvPicPr>
          <a:picLocks noChangeAspect="1" noChangeArrowheads="1"/>
        </xdr:cNvPicPr>
      </xdr:nvPicPr>
      <xdr:blipFill>
        <a:blip xmlns:r="http://schemas.openxmlformats.org/officeDocument/2006/relationships" r:embed="rId7" cstate="print"/>
        <a:srcRect/>
        <a:stretch>
          <a:fillRect/>
        </a:stretch>
      </xdr:blipFill>
      <xdr:spPr bwMode="auto">
        <a:xfrm>
          <a:off x="1276350" y="4972050"/>
          <a:ext cx="542925" cy="171450"/>
        </a:xfrm>
        <a:prstGeom prst="rect">
          <a:avLst/>
        </a:prstGeom>
        <a:noFill/>
        <a:ln w="9525">
          <a:noFill/>
          <a:miter lim="800000"/>
          <a:headEnd/>
          <a:tailEnd/>
        </a:ln>
      </xdr:spPr>
    </xdr:pic>
    <xdr:clientData/>
  </xdr:twoCellAnchor>
  <xdr:twoCellAnchor>
    <xdr:from>
      <xdr:col>3</xdr:col>
      <xdr:colOff>57150</xdr:colOff>
      <xdr:row>29</xdr:row>
      <xdr:rowOff>19050</xdr:rowOff>
    </xdr:from>
    <xdr:to>
      <xdr:col>3</xdr:col>
      <xdr:colOff>600075</xdr:colOff>
      <xdr:row>29</xdr:row>
      <xdr:rowOff>561975</xdr:rowOff>
    </xdr:to>
    <xdr:pic>
      <xdr:nvPicPr>
        <xdr:cNvPr id="24" name="Picture 3"/>
        <xdr:cNvPicPr>
          <a:picLocks noChangeAspect="1" noChangeArrowheads="1"/>
        </xdr:cNvPicPr>
      </xdr:nvPicPr>
      <xdr:blipFill>
        <a:blip xmlns:r="http://schemas.openxmlformats.org/officeDocument/2006/relationships" r:embed="rId8" cstate="print"/>
        <a:srcRect/>
        <a:stretch>
          <a:fillRect/>
        </a:stretch>
      </xdr:blipFill>
      <xdr:spPr bwMode="auto">
        <a:xfrm>
          <a:off x="1885950" y="5543550"/>
          <a:ext cx="542925" cy="171450"/>
        </a:xfrm>
        <a:prstGeom prst="rect">
          <a:avLst/>
        </a:prstGeom>
        <a:noFill/>
        <a:ln w="9525">
          <a:noFill/>
          <a:miter lim="800000"/>
          <a:headEnd/>
          <a:tailEnd/>
        </a:ln>
      </xdr:spPr>
    </xdr:pic>
    <xdr:clientData/>
  </xdr:twoCellAnchor>
  <xdr:twoCellAnchor>
    <xdr:from>
      <xdr:col>2</xdr:col>
      <xdr:colOff>57150</xdr:colOff>
      <xdr:row>67</xdr:row>
      <xdr:rowOff>47625</xdr:rowOff>
    </xdr:from>
    <xdr:to>
      <xdr:col>2</xdr:col>
      <xdr:colOff>600075</xdr:colOff>
      <xdr:row>67</xdr:row>
      <xdr:rowOff>581025</xdr:rowOff>
    </xdr:to>
    <xdr:pic>
      <xdr:nvPicPr>
        <xdr:cNvPr id="25" name="Picture 2"/>
        <xdr:cNvPicPr>
          <a:picLocks noChangeAspect="1" noChangeArrowheads="1"/>
        </xdr:cNvPicPr>
      </xdr:nvPicPr>
      <xdr:blipFill>
        <a:blip xmlns:r="http://schemas.openxmlformats.org/officeDocument/2006/relationships" r:embed="rId9" cstate="print"/>
        <a:srcRect/>
        <a:stretch>
          <a:fillRect/>
        </a:stretch>
      </xdr:blipFill>
      <xdr:spPr bwMode="auto">
        <a:xfrm>
          <a:off x="1276350" y="12811125"/>
          <a:ext cx="542925" cy="142875"/>
        </a:xfrm>
        <a:prstGeom prst="rect">
          <a:avLst/>
        </a:prstGeom>
        <a:noFill/>
        <a:ln w="9525">
          <a:noFill/>
          <a:miter lim="800000"/>
          <a:headEnd/>
          <a:tailEnd/>
        </a:ln>
      </xdr:spPr>
    </xdr:pic>
    <xdr:clientData/>
  </xdr:twoCellAnchor>
  <xdr:twoCellAnchor>
    <xdr:from>
      <xdr:col>3</xdr:col>
      <xdr:colOff>66675</xdr:colOff>
      <xdr:row>68</xdr:row>
      <xdr:rowOff>19050</xdr:rowOff>
    </xdr:from>
    <xdr:to>
      <xdr:col>3</xdr:col>
      <xdr:colOff>609600</xdr:colOff>
      <xdr:row>68</xdr:row>
      <xdr:rowOff>561975</xdr:rowOff>
    </xdr:to>
    <xdr:pic>
      <xdr:nvPicPr>
        <xdr:cNvPr id="26" name="Picture 1"/>
        <xdr:cNvPicPr>
          <a:picLocks noChangeAspect="1" noChangeArrowheads="1"/>
        </xdr:cNvPicPr>
      </xdr:nvPicPr>
      <xdr:blipFill>
        <a:blip xmlns:r="http://schemas.openxmlformats.org/officeDocument/2006/relationships" r:embed="rId6" cstate="print"/>
        <a:srcRect/>
        <a:stretch>
          <a:fillRect/>
        </a:stretch>
      </xdr:blipFill>
      <xdr:spPr bwMode="auto">
        <a:xfrm>
          <a:off x="1895475" y="12973050"/>
          <a:ext cx="542925" cy="171450"/>
        </a:xfrm>
        <a:prstGeom prst="rect">
          <a:avLst/>
        </a:prstGeom>
        <a:noFill/>
        <a:ln w="9525">
          <a:noFill/>
          <a:miter lim="800000"/>
          <a:headEnd/>
          <a:tailEnd/>
        </a:ln>
      </xdr:spPr>
    </xdr:pic>
    <xdr:clientData/>
  </xdr:twoCellAnchor>
  <xdr:twoCellAnchor>
    <xdr:from>
      <xdr:col>2</xdr:col>
      <xdr:colOff>66675</xdr:colOff>
      <xdr:row>69</xdr:row>
      <xdr:rowOff>47625</xdr:rowOff>
    </xdr:from>
    <xdr:to>
      <xdr:col>2</xdr:col>
      <xdr:colOff>609600</xdr:colOff>
      <xdr:row>69</xdr:row>
      <xdr:rowOff>581025</xdr:rowOff>
    </xdr:to>
    <xdr:pic>
      <xdr:nvPicPr>
        <xdr:cNvPr id="27" name="Picture 2"/>
        <xdr:cNvPicPr>
          <a:picLocks noChangeAspect="1" noChangeArrowheads="1"/>
        </xdr:cNvPicPr>
      </xdr:nvPicPr>
      <xdr:blipFill>
        <a:blip xmlns:r="http://schemas.openxmlformats.org/officeDocument/2006/relationships" r:embed="rId7" cstate="print"/>
        <a:srcRect/>
        <a:stretch>
          <a:fillRect/>
        </a:stretch>
      </xdr:blipFill>
      <xdr:spPr bwMode="auto">
        <a:xfrm>
          <a:off x="1285875" y="13192125"/>
          <a:ext cx="542925" cy="142875"/>
        </a:xfrm>
        <a:prstGeom prst="rect">
          <a:avLst/>
        </a:prstGeom>
        <a:noFill/>
        <a:ln w="9525">
          <a:noFill/>
          <a:miter lim="800000"/>
          <a:headEnd/>
          <a:tailEnd/>
        </a:ln>
      </xdr:spPr>
    </xdr:pic>
    <xdr:clientData/>
  </xdr:twoCellAnchor>
  <xdr:twoCellAnchor>
    <xdr:from>
      <xdr:col>3</xdr:col>
      <xdr:colOff>76200</xdr:colOff>
      <xdr:row>70</xdr:row>
      <xdr:rowOff>47625</xdr:rowOff>
    </xdr:from>
    <xdr:to>
      <xdr:col>3</xdr:col>
      <xdr:colOff>619125</xdr:colOff>
      <xdr:row>70</xdr:row>
      <xdr:rowOff>581025</xdr:rowOff>
    </xdr:to>
    <xdr:pic>
      <xdr:nvPicPr>
        <xdr:cNvPr id="28" name="Picture 3"/>
        <xdr:cNvPicPr>
          <a:picLocks noChangeAspect="1" noChangeArrowheads="1"/>
        </xdr:cNvPicPr>
      </xdr:nvPicPr>
      <xdr:blipFill>
        <a:blip xmlns:r="http://schemas.openxmlformats.org/officeDocument/2006/relationships" r:embed="rId8" cstate="print"/>
        <a:srcRect/>
        <a:stretch>
          <a:fillRect/>
        </a:stretch>
      </xdr:blipFill>
      <xdr:spPr bwMode="auto">
        <a:xfrm>
          <a:off x="1905000" y="13382625"/>
          <a:ext cx="533400" cy="142875"/>
        </a:xfrm>
        <a:prstGeom prst="rect">
          <a:avLst/>
        </a:prstGeom>
        <a:noFill/>
        <a:ln w="9525">
          <a:noFill/>
          <a:miter lim="800000"/>
          <a:headEnd/>
          <a:tailEnd/>
        </a:ln>
      </xdr:spPr>
    </xdr:pic>
    <xdr:clientData/>
  </xdr:twoCellAnchor>
  <xdr:twoCellAnchor>
    <xdr:from>
      <xdr:col>2</xdr:col>
      <xdr:colOff>66675</xdr:colOff>
      <xdr:row>71</xdr:row>
      <xdr:rowOff>38100</xdr:rowOff>
    </xdr:from>
    <xdr:to>
      <xdr:col>2</xdr:col>
      <xdr:colOff>609600</xdr:colOff>
      <xdr:row>71</xdr:row>
      <xdr:rowOff>571500</xdr:rowOff>
    </xdr:to>
    <xdr:pic>
      <xdr:nvPicPr>
        <xdr:cNvPr id="29" name="Picture 2"/>
        <xdr:cNvPicPr>
          <a:picLocks noChangeAspect="1" noChangeArrowheads="1"/>
        </xdr:cNvPicPr>
      </xdr:nvPicPr>
      <xdr:blipFill>
        <a:blip xmlns:r="http://schemas.openxmlformats.org/officeDocument/2006/relationships" r:embed="rId9" cstate="print"/>
        <a:srcRect/>
        <a:stretch>
          <a:fillRect/>
        </a:stretch>
      </xdr:blipFill>
      <xdr:spPr bwMode="auto">
        <a:xfrm>
          <a:off x="1285875" y="13563600"/>
          <a:ext cx="542925" cy="152400"/>
        </a:xfrm>
        <a:prstGeom prst="rect">
          <a:avLst/>
        </a:prstGeom>
        <a:noFill/>
        <a:ln w="9525">
          <a:noFill/>
          <a:miter lim="800000"/>
          <a:headEnd/>
          <a:tailEnd/>
        </a:ln>
      </xdr:spPr>
    </xdr:pic>
    <xdr:clientData/>
  </xdr:twoCellAnchor>
  <xdr:twoCellAnchor>
    <xdr:from>
      <xdr:col>3</xdr:col>
      <xdr:colOff>76200</xdr:colOff>
      <xdr:row>74</xdr:row>
      <xdr:rowOff>38100</xdr:rowOff>
    </xdr:from>
    <xdr:to>
      <xdr:col>3</xdr:col>
      <xdr:colOff>619125</xdr:colOff>
      <xdr:row>74</xdr:row>
      <xdr:rowOff>571500</xdr:rowOff>
    </xdr:to>
    <xdr:pic>
      <xdr:nvPicPr>
        <xdr:cNvPr id="30" name="Picture 1"/>
        <xdr:cNvPicPr>
          <a:picLocks noChangeAspect="1" noChangeArrowheads="1"/>
        </xdr:cNvPicPr>
      </xdr:nvPicPr>
      <xdr:blipFill>
        <a:blip xmlns:r="http://schemas.openxmlformats.org/officeDocument/2006/relationships" r:embed="rId6" cstate="print"/>
        <a:srcRect/>
        <a:stretch>
          <a:fillRect/>
        </a:stretch>
      </xdr:blipFill>
      <xdr:spPr bwMode="auto">
        <a:xfrm>
          <a:off x="1905000" y="14135100"/>
          <a:ext cx="533400" cy="152400"/>
        </a:xfrm>
        <a:prstGeom prst="rect">
          <a:avLst/>
        </a:prstGeom>
        <a:noFill/>
        <a:ln w="9525">
          <a:noFill/>
          <a:miter lim="800000"/>
          <a:headEnd/>
          <a:tailEnd/>
        </a:ln>
      </xdr:spPr>
    </xdr:pic>
    <xdr:clientData/>
  </xdr:twoCellAnchor>
  <xdr:twoCellAnchor>
    <xdr:from>
      <xdr:col>2</xdr:col>
      <xdr:colOff>76200</xdr:colOff>
      <xdr:row>77</xdr:row>
      <xdr:rowOff>47625</xdr:rowOff>
    </xdr:from>
    <xdr:to>
      <xdr:col>2</xdr:col>
      <xdr:colOff>619125</xdr:colOff>
      <xdr:row>77</xdr:row>
      <xdr:rowOff>581025</xdr:rowOff>
    </xdr:to>
    <xdr:pic>
      <xdr:nvPicPr>
        <xdr:cNvPr id="31" name="Picture 2"/>
        <xdr:cNvPicPr>
          <a:picLocks noChangeAspect="1" noChangeArrowheads="1"/>
        </xdr:cNvPicPr>
      </xdr:nvPicPr>
      <xdr:blipFill>
        <a:blip xmlns:r="http://schemas.openxmlformats.org/officeDocument/2006/relationships" r:embed="rId7" cstate="print"/>
        <a:srcRect/>
        <a:stretch>
          <a:fillRect/>
        </a:stretch>
      </xdr:blipFill>
      <xdr:spPr bwMode="auto">
        <a:xfrm>
          <a:off x="1295400" y="14716125"/>
          <a:ext cx="533400" cy="142875"/>
        </a:xfrm>
        <a:prstGeom prst="rect">
          <a:avLst/>
        </a:prstGeom>
        <a:noFill/>
        <a:ln w="9525">
          <a:noFill/>
          <a:miter lim="800000"/>
          <a:headEnd/>
          <a:tailEnd/>
        </a:ln>
      </xdr:spPr>
    </xdr:pic>
    <xdr:clientData/>
  </xdr:twoCellAnchor>
  <xdr:twoCellAnchor>
    <xdr:from>
      <xdr:col>3</xdr:col>
      <xdr:colOff>47625</xdr:colOff>
      <xdr:row>82</xdr:row>
      <xdr:rowOff>38100</xdr:rowOff>
    </xdr:from>
    <xdr:to>
      <xdr:col>3</xdr:col>
      <xdr:colOff>590550</xdr:colOff>
      <xdr:row>82</xdr:row>
      <xdr:rowOff>571500</xdr:rowOff>
    </xdr:to>
    <xdr:pic>
      <xdr:nvPicPr>
        <xdr:cNvPr id="32" name="Picture 3"/>
        <xdr:cNvPicPr>
          <a:picLocks noChangeAspect="1" noChangeArrowheads="1"/>
        </xdr:cNvPicPr>
      </xdr:nvPicPr>
      <xdr:blipFill>
        <a:blip xmlns:r="http://schemas.openxmlformats.org/officeDocument/2006/relationships" r:embed="rId8" cstate="print"/>
        <a:srcRect/>
        <a:stretch>
          <a:fillRect/>
        </a:stretch>
      </xdr:blipFill>
      <xdr:spPr bwMode="auto">
        <a:xfrm>
          <a:off x="1876425" y="15659100"/>
          <a:ext cx="542925" cy="152400"/>
        </a:xfrm>
        <a:prstGeom prst="rect">
          <a:avLst/>
        </a:prstGeom>
        <a:noFill/>
        <a:ln w="9525">
          <a:noFill/>
          <a:miter lim="800000"/>
          <a:headEnd/>
          <a:tailEnd/>
        </a:ln>
      </xdr:spPr>
    </xdr:pic>
    <xdr:clientData/>
  </xdr:twoCellAnchor>
  <xdr:twoCellAnchor>
    <xdr:from>
      <xdr:col>2</xdr:col>
      <xdr:colOff>47625</xdr:colOff>
      <xdr:row>42</xdr:row>
      <xdr:rowOff>66675</xdr:rowOff>
    </xdr:from>
    <xdr:to>
      <xdr:col>2</xdr:col>
      <xdr:colOff>590550</xdr:colOff>
      <xdr:row>42</xdr:row>
      <xdr:rowOff>609600</xdr:rowOff>
    </xdr:to>
    <xdr:pic>
      <xdr:nvPicPr>
        <xdr:cNvPr id="33" name="Picture 2"/>
        <xdr:cNvPicPr>
          <a:picLocks noChangeAspect="1" noChangeArrowheads="1"/>
        </xdr:cNvPicPr>
      </xdr:nvPicPr>
      <xdr:blipFill>
        <a:blip xmlns:r="http://schemas.openxmlformats.org/officeDocument/2006/relationships" r:embed="rId9" cstate="print"/>
        <a:srcRect/>
        <a:stretch>
          <a:fillRect/>
        </a:stretch>
      </xdr:blipFill>
      <xdr:spPr bwMode="auto">
        <a:xfrm>
          <a:off x="1266825" y="8067675"/>
          <a:ext cx="542925" cy="123825"/>
        </a:xfrm>
        <a:prstGeom prst="rect">
          <a:avLst/>
        </a:prstGeom>
        <a:noFill/>
        <a:ln w="9525">
          <a:noFill/>
          <a:miter lim="800000"/>
          <a:headEnd/>
          <a:tailEnd/>
        </a:ln>
      </xdr:spPr>
    </xdr:pic>
    <xdr:clientData/>
  </xdr:twoCellAnchor>
  <xdr:twoCellAnchor>
    <xdr:from>
      <xdr:col>3</xdr:col>
      <xdr:colOff>57150</xdr:colOff>
      <xdr:row>45</xdr:row>
      <xdr:rowOff>47625</xdr:rowOff>
    </xdr:from>
    <xdr:to>
      <xdr:col>3</xdr:col>
      <xdr:colOff>600075</xdr:colOff>
      <xdr:row>45</xdr:row>
      <xdr:rowOff>581025</xdr:rowOff>
    </xdr:to>
    <xdr:pic>
      <xdr:nvPicPr>
        <xdr:cNvPr id="34" name="Picture 1"/>
        <xdr:cNvPicPr>
          <a:picLocks noChangeAspect="1" noChangeArrowheads="1"/>
        </xdr:cNvPicPr>
      </xdr:nvPicPr>
      <xdr:blipFill>
        <a:blip xmlns:r="http://schemas.openxmlformats.org/officeDocument/2006/relationships" r:embed="rId6" cstate="print"/>
        <a:srcRect/>
        <a:stretch>
          <a:fillRect/>
        </a:stretch>
      </xdr:blipFill>
      <xdr:spPr bwMode="auto">
        <a:xfrm>
          <a:off x="1885950" y="8620125"/>
          <a:ext cx="542925" cy="142875"/>
        </a:xfrm>
        <a:prstGeom prst="rect">
          <a:avLst/>
        </a:prstGeom>
        <a:noFill/>
        <a:ln w="9525">
          <a:noFill/>
          <a:miter lim="800000"/>
          <a:headEnd/>
          <a:tailEnd/>
        </a:ln>
      </xdr:spPr>
    </xdr:pic>
    <xdr:clientData/>
  </xdr:twoCellAnchor>
  <xdr:twoCellAnchor>
    <xdr:from>
      <xdr:col>2</xdr:col>
      <xdr:colOff>57150</xdr:colOff>
      <xdr:row>48</xdr:row>
      <xdr:rowOff>38100</xdr:rowOff>
    </xdr:from>
    <xdr:to>
      <xdr:col>2</xdr:col>
      <xdr:colOff>600075</xdr:colOff>
      <xdr:row>48</xdr:row>
      <xdr:rowOff>571500</xdr:rowOff>
    </xdr:to>
    <xdr:pic>
      <xdr:nvPicPr>
        <xdr:cNvPr id="35" name="Picture 2"/>
        <xdr:cNvPicPr>
          <a:picLocks noChangeAspect="1" noChangeArrowheads="1"/>
        </xdr:cNvPicPr>
      </xdr:nvPicPr>
      <xdr:blipFill>
        <a:blip xmlns:r="http://schemas.openxmlformats.org/officeDocument/2006/relationships" r:embed="rId7" cstate="print"/>
        <a:srcRect/>
        <a:stretch>
          <a:fillRect/>
        </a:stretch>
      </xdr:blipFill>
      <xdr:spPr bwMode="auto">
        <a:xfrm>
          <a:off x="1276350" y="9182100"/>
          <a:ext cx="542925" cy="152400"/>
        </a:xfrm>
        <a:prstGeom prst="rect">
          <a:avLst/>
        </a:prstGeom>
        <a:noFill/>
        <a:ln w="9525">
          <a:noFill/>
          <a:miter lim="800000"/>
          <a:headEnd/>
          <a:tailEnd/>
        </a:ln>
      </xdr:spPr>
    </xdr:pic>
    <xdr:clientData/>
  </xdr:twoCellAnchor>
  <xdr:twoCellAnchor>
    <xdr:from>
      <xdr:col>3</xdr:col>
      <xdr:colOff>57150</xdr:colOff>
      <xdr:row>51</xdr:row>
      <xdr:rowOff>38100</xdr:rowOff>
    </xdr:from>
    <xdr:to>
      <xdr:col>3</xdr:col>
      <xdr:colOff>600075</xdr:colOff>
      <xdr:row>51</xdr:row>
      <xdr:rowOff>571500</xdr:rowOff>
    </xdr:to>
    <xdr:pic>
      <xdr:nvPicPr>
        <xdr:cNvPr id="36" name="Picture 3"/>
        <xdr:cNvPicPr>
          <a:picLocks noChangeAspect="1" noChangeArrowheads="1"/>
        </xdr:cNvPicPr>
      </xdr:nvPicPr>
      <xdr:blipFill>
        <a:blip xmlns:r="http://schemas.openxmlformats.org/officeDocument/2006/relationships" r:embed="rId8" cstate="print"/>
        <a:srcRect/>
        <a:stretch>
          <a:fillRect/>
        </a:stretch>
      </xdr:blipFill>
      <xdr:spPr bwMode="auto">
        <a:xfrm>
          <a:off x="1885950" y="9753600"/>
          <a:ext cx="542925" cy="152400"/>
        </a:xfrm>
        <a:prstGeom prst="rect">
          <a:avLst/>
        </a:prstGeom>
        <a:noFill/>
        <a:ln w="9525">
          <a:noFill/>
          <a:miter lim="800000"/>
          <a:headEnd/>
          <a:tailEnd/>
        </a:ln>
      </xdr:spPr>
    </xdr:pic>
    <xdr:clientData/>
  </xdr:twoCellAnchor>
  <xdr:twoCellAnchor>
    <xdr:from>
      <xdr:col>3</xdr:col>
      <xdr:colOff>56030</xdr:colOff>
      <xdr:row>46</xdr:row>
      <xdr:rowOff>44823</xdr:rowOff>
    </xdr:from>
    <xdr:to>
      <xdr:col>3</xdr:col>
      <xdr:colOff>598955</xdr:colOff>
      <xdr:row>46</xdr:row>
      <xdr:rowOff>578223</xdr:rowOff>
    </xdr:to>
    <xdr:pic>
      <xdr:nvPicPr>
        <xdr:cNvPr id="37" name="Picture 1"/>
        <xdr:cNvPicPr>
          <a:picLocks noChangeAspect="1" noChangeArrowheads="1"/>
        </xdr:cNvPicPr>
      </xdr:nvPicPr>
      <xdr:blipFill>
        <a:blip xmlns:r="http://schemas.openxmlformats.org/officeDocument/2006/relationships" r:embed="rId6" cstate="print"/>
        <a:srcRect/>
        <a:stretch>
          <a:fillRect/>
        </a:stretch>
      </xdr:blipFill>
      <xdr:spPr bwMode="auto">
        <a:xfrm>
          <a:off x="1884830" y="8807823"/>
          <a:ext cx="542925" cy="142875"/>
        </a:xfrm>
        <a:prstGeom prst="rect">
          <a:avLst/>
        </a:prstGeom>
        <a:noFill/>
        <a:ln w="9525">
          <a:noFill/>
          <a:miter lim="800000"/>
          <a:headEnd/>
          <a:tailEnd/>
        </a:ln>
      </xdr:spPr>
    </xdr:pic>
    <xdr:clientData/>
  </xdr:twoCellAnchor>
  <xdr:twoCellAnchor>
    <xdr:from>
      <xdr:col>3</xdr:col>
      <xdr:colOff>56030</xdr:colOff>
      <xdr:row>47</xdr:row>
      <xdr:rowOff>33618</xdr:rowOff>
    </xdr:from>
    <xdr:to>
      <xdr:col>3</xdr:col>
      <xdr:colOff>598955</xdr:colOff>
      <xdr:row>47</xdr:row>
      <xdr:rowOff>567018</xdr:rowOff>
    </xdr:to>
    <xdr:pic>
      <xdr:nvPicPr>
        <xdr:cNvPr id="38" name="Picture 1"/>
        <xdr:cNvPicPr>
          <a:picLocks noChangeAspect="1" noChangeArrowheads="1"/>
        </xdr:cNvPicPr>
      </xdr:nvPicPr>
      <xdr:blipFill>
        <a:blip xmlns:r="http://schemas.openxmlformats.org/officeDocument/2006/relationships" r:embed="rId6" cstate="print"/>
        <a:srcRect/>
        <a:stretch>
          <a:fillRect/>
        </a:stretch>
      </xdr:blipFill>
      <xdr:spPr bwMode="auto">
        <a:xfrm>
          <a:off x="1884830" y="8987118"/>
          <a:ext cx="542925" cy="152400"/>
        </a:xfrm>
        <a:prstGeom prst="rect">
          <a:avLst/>
        </a:prstGeom>
        <a:noFill/>
        <a:ln w="9525">
          <a:noFill/>
          <a:miter lim="800000"/>
          <a:headEnd/>
          <a:tailEnd/>
        </a:ln>
      </xdr:spPr>
    </xdr:pic>
    <xdr:clientData/>
  </xdr:twoCellAnchor>
  <xdr:twoCellAnchor>
    <xdr:from>
      <xdr:col>0</xdr:col>
      <xdr:colOff>78441</xdr:colOff>
      <xdr:row>42</xdr:row>
      <xdr:rowOff>100853</xdr:rowOff>
    </xdr:from>
    <xdr:to>
      <xdr:col>1</xdr:col>
      <xdr:colOff>516591</xdr:colOff>
      <xdr:row>43</xdr:row>
      <xdr:rowOff>558053</xdr:rowOff>
    </xdr:to>
    <xdr:pic>
      <xdr:nvPicPr>
        <xdr:cNvPr id="39" name="Picture 22"/>
        <xdr:cNvPicPr>
          <a:picLocks noChangeAspect="1" noChangeArrowheads="1"/>
        </xdr:cNvPicPr>
      </xdr:nvPicPr>
      <xdr:blipFill>
        <a:blip xmlns:r="http://schemas.openxmlformats.org/officeDocument/2006/relationships" r:embed="rId10" cstate="print"/>
        <a:srcRect/>
        <a:stretch>
          <a:fillRect/>
        </a:stretch>
      </xdr:blipFill>
      <xdr:spPr bwMode="auto">
        <a:xfrm>
          <a:off x="78441" y="8101853"/>
          <a:ext cx="1047750" cy="276225"/>
        </a:xfrm>
        <a:prstGeom prst="rect">
          <a:avLst/>
        </a:prstGeom>
        <a:noFill/>
        <a:ln w="9525">
          <a:noFill/>
          <a:miter lim="800000"/>
          <a:headEnd/>
          <a:tailEnd/>
        </a:ln>
      </xdr:spPr>
    </xdr:pic>
    <xdr:clientData/>
  </xdr:twoCellAnchor>
  <xdr:twoCellAnchor>
    <xdr:from>
      <xdr:col>0</xdr:col>
      <xdr:colOff>96370</xdr:colOff>
      <xdr:row>44</xdr:row>
      <xdr:rowOff>73959</xdr:rowOff>
    </xdr:from>
    <xdr:to>
      <xdr:col>1</xdr:col>
      <xdr:colOff>534520</xdr:colOff>
      <xdr:row>45</xdr:row>
      <xdr:rowOff>531159</xdr:rowOff>
    </xdr:to>
    <xdr:pic>
      <xdr:nvPicPr>
        <xdr:cNvPr id="40" name="Picture 22"/>
        <xdr:cNvPicPr>
          <a:picLocks noChangeAspect="1" noChangeArrowheads="1"/>
        </xdr:cNvPicPr>
      </xdr:nvPicPr>
      <xdr:blipFill>
        <a:blip xmlns:r="http://schemas.openxmlformats.org/officeDocument/2006/relationships" r:embed="rId10" cstate="print"/>
        <a:srcRect/>
        <a:stretch>
          <a:fillRect/>
        </a:stretch>
      </xdr:blipFill>
      <xdr:spPr bwMode="auto">
        <a:xfrm>
          <a:off x="96370" y="8455959"/>
          <a:ext cx="1047750" cy="304800"/>
        </a:xfrm>
        <a:prstGeom prst="rect">
          <a:avLst/>
        </a:prstGeom>
        <a:noFill/>
        <a:ln w="9525">
          <a:noFill/>
          <a:miter lim="800000"/>
          <a:headEnd/>
          <a:tailEnd/>
        </a:ln>
      </xdr:spPr>
    </xdr:pic>
    <xdr:clientData/>
  </xdr:twoCellAnchor>
  <xdr:twoCellAnchor>
    <xdr:from>
      <xdr:col>0</xdr:col>
      <xdr:colOff>123264</xdr:colOff>
      <xdr:row>46</xdr:row>
      <xdr:rowOff>44823</xdr:rowOff>
    </xdr:from>
    <xdr:to>
      <xdr:col>1</xdr:col>
      <xdr:colOff>561414</xdr:colOff>
      <xdr:row>47</xdr:row>
      <xdr:rowOff>502023</xdr:rowOff>
    </xdr:to>
    <xdr:pic>
      <xdr:nvPicPr>
        <xdr:cNvPr id="41" name="Picture 22"/>
        <xdr:cNvPicPr>
          <a:picLocks noChangeAspect="1" noChangeArrowheads="1"/>
        </xdr:cNvPicPr>
      </xdr:nvPicPr>
      <xdr:blipFill>
        <a:blip xmlns:r="http://schemas.openxmlformats.org/officeDocument/2006/relationships" r:embed="rId10" cstate="print"/>
        <a:srcRect/>
        <a:stretch>
          <a:fillRect/>
        </a:stretch>
      </xdr:blipFill>
      <xdr:spPr bwMode="auto">
        <a:xfrm>
          <a:off x="123264" y="8807823"/>
          <a:ext cx="1047750" cy="333375"/>
        </a:xfrm>
        <a:prstGeom prst="rect">
          <a:avLst/>
        </a:prstGeom>
        <a:noFill/>
        <a:ln w="9525">
          <a:noFill/>
          <a:miter lim="800000"/>
          <a:headEnd/>
          <a:tailEnd/>
        </a:ln>
      </xdr:spPr>
    </xdr:pic>
    <xdr:clientData/>
  </xdr:twoCellAnchor>
  <xdr:twoCellAnchor>
    <xdr:from>
      <xdr:col>2</xdr:col>
      <xdr:colOff>44824</xdr:colOff>
      <xdr:row>43</xdr:row>
      <xdr:rowOff>33618</xdr:rowOff>
    </xdr:from>
    <xdr:to>
      <xdr:col>2</xdr:col>
      <xdr:colOff>587749</xdr:colOff>
      <xdr:row>43</xdr:row>
      <xdr:rowOff>576543</xdr:rowOff>
    </xdr:to>
    <xdr:pic>
      <xdr:nvPicPr>
        <xdr:cNvPr id="42" name="Picture 2"/>
        <xdr:cNvPicPr>
          <a:picLocks noChangeAspect="1" noChangeArrowheads="1"/>
        </xdr:cNvPicPr>
      </xdr:nvPicPr>
      <xdr:blipFill>
        <a:blip xmlns:r="http://schemas.openxmlformats.org/officeDocument/2006/relationships" r:embed="rId9" cstate="print"/>
        <a:srcRect/>
        <a:stretch>
          <a:fillRect/>
        </a:stretch>
      </xdr:blipFill>
      <xdr:spPr bwMode="auto">
        <a:xfrm>
          <a:off x="1264024" y="8225118"/>
          <a:ext cx="542925" cy="152400"/>
        </a:xfrm>
        <a:prstGeom prst="rect">
          <a:avLst/>
        </a:prstGeom>
        <a:noFill/>
        <a:ln w="9525">
          <a:noFill/>
          <a:miter lim="800000"/>
          <a:headEnd/>
          <a:tailEnd/>
        </a:ln>
      </xdr:spPr>
    </xdr:pic>
    <xdr:clientData/>
  </xdr:twoCellAnchor>
  <xdr:twoCellAnchor>
    <xdr:from>
      <xdr:col>2</xdr:col>
      <xdr:colOff>33618</xdr:colOff>
      <xdr:row>44</xdr:row>
      <xdr:rowOff>33618</xdr:rowOff>
    </xdr:from>
    <xdr:to>
      <xdr:col>2</xdr:col>
      <xdr:colOff>576543</xdr:colOff>
      <xdr:row>44</xdr:row>
      <xdr:rowOff>576543</xdr:rowOff>
    </xdr:to>
    <xdr:pic>
      <xdr:nvPicPr>
        <xdr:cNvPr id="43" name="Picture 2"/>
        <xdr:cNvPicPr>
          <a:picLocks noChangeAspect="1" noChangeArrowheads="1"/>
        </xdr:cNvPicPr>
      </xdr:nvPicPr>
      <xdr:blipFill>
        <a:blip xmlns:r="http://schemas.openxmlformats.org/officeDocument/2006/relationships" r:embed="rId9" cstate="print"/>
        <a:srcRect/>
        <a:stretch>
          <a:fillRect/>
        </a:stretch>
      </xdr:blipFill>
      <xdr:spPr bwMode="auto">
        <a:xfrm>
          <a:off x="1252818" y="8415618"/>
          <a:ext cx="542925" cy="152400"/>
        </a:xfrm>
        <a:prstGeom prst="rect">
          <a:avLst/>
        </a:prstGeom>
        <a:noFill/>
        <a:ln w="9525">
          <a:noFill/>
          <a:miter lim="800000"/>
          <a:headEnd/>
          <a:tailEnd/>
        </a:ln>
      </xdr:spPr>
    </xdr:pic>
    <xdr:clientData/>
  </xdr:twoCellAnchor>
  <xdr:twoCellAnchor>
    <xdr:from>
      <xdr:col>2</xdr:col>
      <xdr:colOff>57150</xdr:colOff>
      <xdr:row>49</xdr:row>
      <xdr:rowOff>38100</xdr:rowOff>
    </xdr:from>
    <xdr:to>
      <xdr:col>2</xdr:col>
      <xdr:colOff>600075</xdr:colOff>
      <xdr:row>49</xdr:row>
      <xdr:rowOff>571500</xdr:rowOff>
    </xdr:to>
    <xdr:pic>
      <xdr:nvPicPr>
        <xdr:cNvPr id="44" name="Picture 2"/>
        <xdr:cNvPicPr>
          <a:picLocks noChangeAspect="1" noChangeArrowheads="1"/>
        </xdr:cNvPicPr>
      </xdr:nvPicPr>
      <xdr:blipFill>
        <a:blip xmlns:r="http://schemas.openxmlformats.org/officeDocument/2006/relationships" r:embed="rId7" cstate="print"/>
        <a:srcRect/>
        <a:stretch>
          <a:fillRect/>
        </a:stretch>
      </xdr:blipFill>
      <xdr:spPr bwMode="auto">
        <a:xfrm>
          <a:off x="1276350" y="9372600"/>
          <a:ext cx="542925" cy="152400"/>
        </a:xfrm>
        <a:prstGeom prst="rect">
          <a:avLst/>
        </a:prstGeom>
        <a:noFill/>
        <a:ln w="9525">
          <a:noFill/>
          <a:miter lim="800000"/>
          <a:headEnd/>
          <a:tailEnd/>
        </a:ln>
      </xdr:spPr>
    </xdr:pic>
    <xdr:clientData/>
  </xdr:twoCellAnchor>
  <xdr:twoCellAnchor>
    <xdr:from>
      <xdr:col>2</xdr:col>
      <xdr:colOff>57150</xdr:colOff>
      <xdr:row>50</xdr:row>
      <xdr:rowOff>38100</xdr:rowOff>
    </xdr:from>
    <xdr:to>
      <xdr:col>2</xdr:col>
      <xdr:colOff>600075</xdr:colOff>
      <xdr:row>50</xdr:row>
      <xdr:rowOff>571500</xdr:rowOff>
    </xdr:to>
    <xdr:pic>
      <xdr:nvPicPr>
        <xdr:cNvPr id="45" name="Picture 2"/>
        <xdr:cNvPicPr>
          <a:picLocks noChangeAspect="1" noChangeArrowheads="1"/>
        </xdr:cNvPicPr>
      </xdr:nvPicPr>
      <xdr:blipFill>
        <a:blip xmlns:r="http://schemas.openxmlformats.org/officeDocument/2006/relationships" r:embed="rId7" cstate="print"/>
        <a:srcRect/>
        <a:stretch>
          <a:fillRect/>
        </a:stretch>
      </xdr:blipFill>
      <xdr:spPr bwMode="auto">
        <a:xfrm>
          <a:off x="1276350" y="9563100"/>
          <a:ext cx="542925" cy="152400"/>
        </a:xfrm>
        <a:prstGeom prst="rect">
          <a:avLst/>
        </a:prstGeom>
        <a:noFill/>
        <a:ln w="9525">
          <a:noFill/>
          <a:miter lim="800000"/>
          <a:headEnd/>
          <a:tailEnd/>
        </a:ln>
      </xdr:spPr>
    </xdr:pic>
    <xdr:clientData/>
  </xdr:twoCellAnchor>
  <xdr:twoCellAnchor>
    <xdr:from>
      <xdr:col>0</xdr:col>
      <xdr:colOff>123265</xdr:colOff>
      <xdr:row>48</xdr:row>
      <xdr:rowOff>67235</xdr:rowOff>
    </xdr:from>
    <xdr:to>
      <xdr:col>1</xdr:col>
      <xdr:colOff>561415</xdr:colOff>
      <xdr:row>49</xdr:row>
      <xdr:rowOff>524435</xdr:rowOff>
    </xdr:to>
    <xdr:pic>
      <xdr:nvPicPr>
        <xdr:cNvPr id="46" name="Picture 22"/>
        <xdr:cNvPicPr>
          <a:picLocks noChangeAspect="1" noChangeArrowheads="1"/>
        </xdr:cNvPicPr>
      </xdr:nvPicPr>
      <xdr:blipFill>
        <a:blip xmlns:r="http://schemas.openxmlformats.org/officeDocument/2006/relationships" r:embed="rId10" cstate="print"/>
        <a:srcRect/>
        <a:stretch>
          <a:fillRect/>
        </a:stretch>
      </xdr:blipFill>
      <xdr:spPr bwMode="auto">
        <a:xfrm>
          <a:off x="123265" y="9211235"/>
          <a:ext cx="1047750" cy="314325"/>
        </a:xfrm>
        <a:prstGeom prst="rect">
          <a:avLst/>
        </a:prstGeom>
        <a:noFill/>
        <a:ln w="9525">
          <a:noFill/>
          <a:miter lim="800000"/>
          <a:headEnd/>
          <a:tailEnd/>
        </a:ln>
      </xdr:spPr>
    </xdr:pic>
    <xdr:clientData/>
  </xdr:twoCellAnchor>
  <xdr:twoCellAnchor>
    <xdr:from>
      <xdr:col>3</xdr:col>
      <xdr:colOff>57150</xdr:colOff>
      <xdr:row>52</xdr:row>
      <xdr:rowOff>38100</xdr:rowOff>
    </xdr:from>
    <xdr:to>
      <xdr:col>3</xdr:col>
      <xdr:colOff>600075</xdr:colOff>
      <xdr:row>52</xdr:row>
      <xdr:rowOff>571500</xdr:rowOff>
    </xdr:to>
    <xdr:pic>
      <xdr:nvPicPr>
        <xdr:cNvPr id="47" name="Picture 3"/>
        <xdr:cNvPicPr>
          <a:picLocks noChangeAspect="1" noChangeArrowheads="1"/>
        </xdr:cNvPicPr>
      </xdr:nvPicPr>
      <xdr:blipFill>
        <a:blip xmlns:r="http://schemas.openxmlformats.org/officeDocument/2006/relationships" r:embed="rId8" cstate="print"/>
        <a:srcRect/>
        <a:stretch>
          <a:fillRect/>
        </a:stretch>
      </xdr:blipFill>
      <xdr:spPr bwMode="auto">
        <a:xfrm>
          <a:off x="1885950" y="9944100"/>
          <a:ext cx="542925" cy="152400"/>
        </a:xfrm>
        <a:prstGeom prst="rect">
          <a:avLst/>
        </a:prstGeom>
        <a:noFill/>
        <a:ln w="9525">
          <a:noFill/>
          <a:miter lim="800000"/>
          <a:headEnd/>
          <a:tailEnd/>
        </a:ln>
      </xdr:spPr>
    </xdr:pic>
    <xdr:clientData/>
  </xdr:twoCellAnchor>
  <xdr:twoCellAnchor>
    <xdr:from>
      <xdr:col>3</xdr:col>
      <xdr:colOff>57150</xdr:colOff>
      <xdr:row>53</xdr:row>
      <xdr:rowOff>38100</xdr:rowOff>
    </xdr:from>
    <xdr:to>
      <xdr:col>3</xdr:col>
      <xdr:colOff>600075</xdr:colOff>
      <xdr:row>53</xdr:row>
      <xdr:rowOff>571500</xdr:rowOff>
    </xdr:to>
    <xdr:pic>
      <xdr:nvPicPr>
        <xdr:cNvPr id="48" name="Picture 3"/>
        <xdr:cNvPicPr>
          <a:picLocks noChangeAspect="1" noChangeArrowheads="1"/>
        </xdr:cNvPicPr>
      </xdr:nvPicPr>
      <xdr:blipFill>
        <a:blip xmlns:r="http://schemas.openxmlformats.org/officeDocument/2006/relationships" r:embed="rId8" cstate="print"/>
        <a:srcRect/>
        <a:stretch>
          <a:fillRect/>
        </a:stretch>
      </xdr:blipFill>
      <xdr:spPr bwMode="auto">
        <a:xfrm>
          <a:off x="1885950" y="10134600"/>
          <a:ext cx="542925" cy="152400"/>
        </a:xfrm>
        <a:prstGeom prst="rect">
          <a:avLst/>
        </a:prstGeom>
        <a:noFill/>
        <a:ln w="9525">
          <a:noFill/>
          <a:miter lim="800000"/>
          <a:headEnd/>
          <a:tailEnd/>
        </a:ln>
      </xdr:spPr>
    </xdr:pic>
    <xdr:clientData/>
  </xdr:twoCellAnchor>
  <xdr:twoCellAnchor>
    <xdr:from>
      <xdr:col>0</xdr:col>
      <xdr:colOff>145677</xdr:colOff>
      <xdr:row>50</xdr:row>
      <xdr:rowOff>56030</xdr:rowOff>
    </xdr:from>
    <xdr:to>
      <xdr:col>1</xdr:col>
      <xdr:colOff>583827</xdr:colOff>
      <xdr:row>51</xdr:row>
      <xdr:rowOff>513230</xdr:rowOff>
    </xdr:to>
    <xdr:pic>
      <xdr:nvPicPr>
        <xdr:cNvPr id="49" name="Picture 22"/>
        <xdr:cNvPicPr>
          <a:picLocks noChangeAspect="1" noChangeArrowheads="1"/>
        </xdr:cNvPicPr>
      </xdr:nvPicPr>
      <xdr:blipFill>
        <a:blip xmlns:r="http://schemas.openxmlformats.org/officeDocument/2006/relationships" r:embed="rId10" cstate="print"/>
        <a:srcRect/>
        <a:stretch>
          <a:fillRect/>
        </a:stretch>
      </xdr:blipFill>
      <xdr:spPr bwMode="auto">
        <a:xfrm>
          <a:off x="145677" y="9581030"/>
          <a:ext cx="1047750" cy="323850"/>
        </a:xfrm>
        <a:prstGeom prst="rect">
          <a:avLst/>
        </a:prstGeom>
        <a:noFill/>
        <a:ln w="9525">
          <a:noFill/>
          <a:miter lim="800000"/>
          <a:headEnd/>
          <a:tailEnd/>
        </a:ln>
      </xdr:spPr>
    </xdr:pic>
    <xdr:clientData/>
  </xdr:twoCellAnchor>
  <xdr:twoCellAnchor>
    <xdr:from>
      <xdr:col>0</xdr:col>
      <xdr:colOff>134471</xdr:colOff>
      <xdr:row>52</xdr:row>
      <xdr:rowOff>67235</xdr:rowOff>
    </xdr:from>
    <xdr:to>
      <xdr:col>1</xdr:col>
      <xdr:colOff>572621</xdr:colOff>
      <xdr:row>53</xdr:row>
      <xdr:rowOff>524435</xdr:rowOff>
    </xdr:to>
    <xdr:pic>
      <xdr:nvPicPr>
        <xdr:cNvPr id="50" name="Picture 22"/>
        <xdr:cNvPicPr>
          <a:picLocks noChangeAspect="1" noChangeArrowheads="1"/>
        </xdr:cNvPicPr>
      </xdr:nvPicPr>
      <xdr:blipFill>
        <a:blip xmlns:r="http://schemas.openxmlformats.org/officeDocument/2006/relationships" r:embed="rId10" cstate="print"/>
        <a:srcRect/>
        <a:stretch>
          <a:fillRect/>
        </a:stretch>
      </xdr:blipFill>
      <xdr:spPr bwMode="auto">
        <a:xfrm>
          <a:off x="134471" y="9973235"/>
          <a:ext cx="1047750" cy="314325"/>
        </a:xfrm>
        <a:prstGeom prst="rect">
          <a:avLst/>
        </a:prstGeom>
        <a:noFill/>
        <a:ln w="9525">
          <a:noFill/>
          <a:miter lim="800000"/>
          <a:headEnd/>
          <a:tailEnd/>
        </a:ln>
      </xdr:spPr>
    </xdr:pic>
    <xdr:clientData/>
  </xdr:twoCellAnchor>
  <xdr:twoCellAnchor>
    <xdr:from>
      <xdr:col>2</xdr:col>
      <xdr:colOff>66675</xdr:colOff>
      <xdr:row>72</xdr:row>
      <xdr:rowOff>38100</xdr:rowOff>
    </xdr:from>
    <xdr:to>
      <xdr:col>2</xdr:col>
      <xdr:colOff>609600</xdr:colOff>
      <xdr:row>72</xdr:row>
      <xdr:rowOff>571500</xdr:rowOff>
    </xdr:to>
    <xdr:pic>
      <xdr:nvPicPr>
        <xdr:cNvPr id="51" name="Picture 2"/>
        <xdr:cNvPicPr>
          <a:picLocks noChangeAspect="1" noChangeArrowheads="1"/>
        </xdr:cNvPicPr>
      </xdr:nvPicPr>
      <xdr:blipFill>
        <a:blip xmlns:r="http://schemas.openxmlformats.org/officeDocument/2006/relationships" r:embed="rId9" cstate="print"/>
        <a:srcRect/>
        <a:stretch>
          <a:fillRect/>
        </a:stretch>
      </xdr:blipFill>
      <xdr:spPr bwMode="auto">
        <a:xfrm>
          <a:off x="1285875" y="13754100"/>
          <a:ext cx="542925" cy="152400"/>
        </a:xfrm>
        <a:prstGeom prst="rect">
          <a:avLst/>
        </a:prstGeom>
        <a:noFill/>
        <a:ln w="9525">
          <a:noFill/>
          <a:miter lim="800000"/>
          <a:headEnd/>
          <a:tailEnd/>
        </a:ln>
      </xdr:spPr>
    </xdr:pic>
    <xdr:clientData/>
  </xdr:twoCellAnchor>
  <xdr:twoCellAnchor>
    <xdr:from>
      <xdr:col>2</xdr:col>
      <xdr:colOff>66675</xdr:colOff>
      <xdr:row>73</xdr:row>
      <xdr:rowOff>38100</xdr:rowOff>
    </xdr:from>
    <xdr:to>
      <xdr:col>2</xdr:col>
      <xdr:colOff>609600</xdr:colOff>
      <xdr:row>73</xdr:row>
      <xdr:rowOff>571500</xdr:rowOff>
    </xdr:to>
    <xdr:pic>
      <xdr:nvPicPr>
        <xdr:cNvPr id="52" name="Picture 2"/>
        <xdr:cNvPicPr>
          <a:picLocks noChangeAspect="1" noChangeArrowheads="1"/>
        </xdr:cNvPicPr>
      </xdr:nvPicPr>
      <xdr:blipFill>
        <a:blip xmlns:r="http://schemas.openxmlformats.org/officeDocument/2006/relationships" r:embed="rId9" cstate="print"/>
        <a:srcRect/>
        <a:stretch>
          <a:fillRect/>
        </a:stretch>
      </xdr:blipFill>
      <xdr:spPr bwMode="auto">
        <a:xfrm>
          <a:off x="1285875" y="13944600"/>
          <a:ext cx="542925" cy="152400"/>
        </a:xfrm>
        <a:prstGeom prst="rect">
          <a:avLst/>
        </a:prstGeom>
        <a:noFill/>
        <a:ln w="9525">
          <a:noFill/>
          <a:miter lim="800000"/>
          <a:headEnd/>
          <a:tailEnd/>
        </a:ln>
      </xdr:spPr>
    </xdr:pic>
    <xdr:clientData/>
  </xdr:twoCellAnchor>
  <xdr:twoCellAnchor>
    <xdr:from>
      <xdr:col>0</xdr:col>
      <xdr:colOff>156883</xdr:colOff>
      <xdr:row>71</xdr:row>
      <xdr:rowOff>67235</xdr:rowOff>
    </xdr:from>
    <xdr:to>
      <xdr:col>1</xdr:col>
      <xdr:colOff>585508</xdr:colOff>
      <xdr:row>72</xdr:row>
      <xdr:rowOff>524435</xdr:rowOff>
    </xdr:to>
    <xdr:pic>
      <xdr:nvPicPr>
        <xdr:cNvPr id="53" name="Picture 24"/>
        <xdr:cNvPicPr>
          <a:picLocks noChangeAspect="1" noChangeArrowheads="1"/>
        </xdr:cNvPicPr>
      </xdr:nvPicPr>
      <xdr:blipFill>
        <a:blip xmlns:r="http://schemas.openxmlformats.org/officeDocument/2006/relationships" r:embed="rId11" cstate="print"/>
        <a:srcRect/>
        <a:stretch>
          <a:fillRect/>
        </a:stretch>
      </xdr:blipFill>
      <xdr:spPr bwMode="auto">
        <a:xfrm>
          <a:off x="156883" y="13592735"/>
          <a:ext cx="1038225" cy="314325"/>
        </a:xfrm>
        <a:prstGeom prst="rect">
          <a:avLst/>
        </a:prstGeom>
        <a:noFill/>
        <a:ln w="9525">
          <a:noFill/>
          <a:miter lim="800000"/>
          <a:headEnd/>
          <a:tailEnd/>
        </a:ln>
      </xdr:spPr>
    </xdr:pic>
    <xdr:clientData/>
  </xdr:twoCellAnchor>
  <xdr:twoCellAnchor>
    <xdr:from>
      <xdr:col>3</xdr:col>
      <xdr:colOff>76200</xdr:colOff>
      <xdr:row>75</xdr:row>
      <xdr:rowOff>38100</xdr:rowOff>
    </xdr:from>
    <xdr:to>
      <xdr:col>3</xdr:col>
      <xdr:colOff>619125</xdr:colOff>
      <xdr:row>75</xdr:row>
      <xdr:rowOff>571500</xdr:rowOff>
    </xdr:to>
    <xdr:pic>
      <xdr:nvPicPr>
        <xdr:cNvPr id="54" name="Picture 1"/>
        <xdr:cNvPicPr>
          <a:picLocks noChangeAspect="1" noChangeArrowheads="1"/>
        </xdr:cNvPicPr>
      </xdr:nvPicPr>
      <xdr:blipFill>
        <a:blip xmlns:r="http://schemas.openxmlformats.org/officeDocument/2006/relationships" r:embed="rId6" cstate="print"/>
        <a:srcRect/>
        <a:stretch>
          <a:fillRect/>
        </a:stretch>
      </xdr:blipFill>
      <xdr:spPr bwMode="auto">
        <a:xfrm>
          <a:off x="1905000" y="14325600"/>
          <a:ext cx="533400" cy="152400"/>
        </a:xfrm>
        <a:prstGeom prst="rect">
          <a:avLst/>
        </a:prstGeom>
        <a:noFill/>
        <a:ln w="9525">
          <a:noFill/>
          <a:miter lim="800000"/>
          <a:headEnd/>
          <a:tailEnd/>
        </a:ln>
      </xdr:spPr>
    </xdr:pic>
    <xdr:clientData/>
  </xdr:twoCellAnchor>
  <xdr:twoCellAnchor>
    <xdr:from>
      <xdr:col>3</xdr:col>
      <xdr:colOff>76200</xdr:colOff>
      <xdr:row>76</xdr:row>
      <xdr:rowOff>38100</xdr:rowOff>
    </xdr:from>
    <xdr:to>
      <xdr:col>3</xdr:col>
      <xdr:colOff>619125</xdr:colOff>
      <xdr:row>76</xdr:row>
      <xdr:rowOff>571500</xdr:rowOff>
    </xdr:to>
    <xdr:pic>
      <xdr:nvPicPr>
        <xdr:cNvPr id="55" name="Picture 1"/>
        <xdr:cNvPicPr>
          <a:picLocks noChangeAspect="1" noChangeArrowheads="1"/>
        </xdr:cNvPicPr>
      </xdr:nvPicPr>
      <xdr:blipFill>
        <a:blip xmlns:r="http://schemas.openxmlformats.org/officeDocument/2006/relationships" r:embed="rId6" cstate="print"/>
        <a:srcRect/>
        <a:stretch>
          <a:fillRect/>
        </a:stretch>
      </xdr:blipFill>
      <xdr:spPr bwMode="auto">
        <a:xfrm>
          <a:off x="1905000" y="14516100"/>
          <a:ext cx="533400" cy="152400"/>
        </a:xfrm>
        <a:prstGeom prst="rect">
          <a:avLst/>
        </a:prstGeom>
        <a:noFill/>
        <a:ln w="9525">
          <a:noFill/>
          <a:miter lim="800000"/>
          <a:headEnd/>
          <a:tailEnd/>
        </a:ln>
      </xdr:spPr>
    </xdr:pic>
    <xdr:clientData/>
  </xdr:twoCellAnchor>
  <xdr:twoCellAnchor>
    <xdr:from>
      <xdr:col>0</xdr:col>
      <xdr:colOff>123265</xdr:colOff>
      <xdr:row>75</xdr:row>
      <xdr:rowOff>89648</xdr:rowOff>
    </xdr:from>
    <xdr:to>
      <xdr:col>1</xdr:col>
      <xdr:colOff>551890</xdr:colOff>
      <xdr:row>76</xdr:row>
      <xdr:rowOff>546848</xdr:rowOff>
    </xdr:to>
    <xdr:pic>
      <xdr:nvPicPr>
        <xdr:cNvPr id="56" name="Picture 24"/>
        <xdr:cNvPicPr>
          <a:picLocks noChangeAspect="1" noChangeArrowheads="1"/>
        </xdr:cNvPicPr>
      </xdr:nvPicPr>
      <xdr:blipFill>
        <a:blip xmlns:r="http://schemas.openxmlformats.org/officeDocument/2006/relationships" r:embed="rId11" cstate="print"/>
        <a:srcRect/>
        <a:stretch>
          <a:fillRect/>
        </a:stretch>
      </xdr:blipFill>
      <xdr:spPr bwMode="auto">
        <a:xfrm>
          <a:off x="123265" y="14377148"/>
          <a:ext cx="1038225" cy="295275"/>
        </a:xfrm>
        <a:prstGeom prst="rect">
          <a:avLst/>
        </a:prstGeom>
        <a:noFill/>
        <a:ln w="9525">
          <a:noFill/>
          <a:miter lim="800000"/>
          <a:headEnd/>
          <a:tailEnd/>
        </a:ln>
      </xdr:spPr>
    </xdr:pic>
    <xdr:clientData/>
  </xdr:twoCellAnchor>
  <xdr:twoCellAnchor>
    <xdr:from>
      <xdr:col>2</xdr:col>
      <xdr:colOff>76200</xdr:colOff>
      <xdr:row>78</xdr:row>
      <xdr:rowOff>47625</xdr:rowOff>
    </xdr:from>
    <xdr:to>
      <xdr:col>2</xdr:col>
      <xdr:colOff>619125</xdr:colOff>
      <xdr:row>78</xdr:row>
      <xdr:rowOff>581025</xdr:rowOff>
    </xdr:to>
    <xdr:pic>
      <xdr:nvPicPr>
        <xdr:cNvPr id="57" name="Picture 2"/>
        <xdr:cNvPicPr>
          <a:picLocks noChangeAspect="1" noChangeArrowheads="1"/>
        </xdr:cNvPicPr>
      </xdr:nvPicPr>
      <xdr:blipFill>
        <a:blip xmlns:r="http://schemas.openxmlformats.org/officeDocument/2006/relationships" r:embed="rId7" cstate="print"/>
        <a:srcRect/>
        <a:stretch>
          <a:fillRect/>
        </a:stretch>
      </xdr:blipFill>
      <xdr:spPr bwMode="auto">
        <a:xfrm>
          <a:off x="1295400" y="14906625"/>
          <a:ext cx="533400" cy="142875"/>
        </a:xfrm>
        <a:prstGeom prst="rect">
          <a:avLst/>
        </a:prstGeom>
        <a:noFill/>
        <a:ln w="9525">
          <a:noFill/>
          <a:miter lim="800000"/>
          <a:headEnd/>
          <a:tailEnd/>
        </a:ln>
      </xdr:spPr>
    </xdr:pic>
    <xdr:clientData/>
  </xdr:twoCellAnchor>
  <xdr:twoCellAnchor>
    <xdr:from>
      <xdr:col>2</xdr:col>
      <xdr:colOff>76200</xdr:colOff>
      <xdr:row>79</xdr:row>
      <xdr:rowOff>47625</xdr:rowOff>
    </xdr:from>
    <xdr:to>
      <xdr:col>2</xdr:col>
      <xdr:colOff>619125</xdr:colOff>
      <xdr:row>79</xdr:row>
      <xdr:rowOff>581025</xdr:rowOff>
    </xdr:to>
    <xdr:pic>
      <xdr:nvPicPr>
        <xdr:cNvPr id="58" name="Picture 2"/>
        <xdr:cNvPicPr>
          <a:picLocks noChangeAspect="1" noChangeArrowheads="1"/>
        </xdr:cNvPicPr>
      </xdr:nvPicPr>
      <xdr:blipFill>
        <a:blip xmlns:r="http://schemas.openxmlformats.org/officeDocument/2006/relationships" r:embed="rId7" cstate="print"/>
        <a:srcRect/>
        <a:stretch>
          <a:fillRect/>
        </a:stretch>
      </xdr:blipFill>
      <xdr:spPr bwMode="auto">
        <a:xfrm>
          <a:off x="1295400" y="15097125"/>
          <a:ext cx="533400" cy="142875"/>
        </a:xfrm>
        <a:prstGeom prst="rect">
          <a:avLst/>
        </a:prstGeom>
        <a:noFill/>
        <a:ln w="9525">
          <a:noFill/>
          <a:miter lim="800000"/>
          <a:headEnd/>
          <a:tailEnd/>
        </a:ln>
      </xdr:spPr>
    </xdr:pic>
    <xdr:clientData/>
  </xdr:twoCellAnchor>
  <xdr:twoCellAnchor>
    <xdr:from>
      <xdr:col>0</xdr:col>
      <xdr:colOff>168088</xdr:colOff>
      <xdr:row>73</xdr:row>
      <xdr:rowOff>78441</xdr:rowOff>
    </xdr:from>
    <xdr:to>
      <xdr:col>1</xdr:col>
      <xdr:colOff>596713</xdr:colOff>
      <xdr:row>74</xdr:row>
      <xdr:rowOff>535641</xdr:rowOff>
    </xdr:to>
    <xdr:pic>
      <xdr:nvPicPr>
        <xdr:cNvPr id="59" name="Picture 24"/>
        <xdr:cNvPicPr>
          <a:picLocks noChangeAspect="1" noChangeArrowheads="1"/>
        </xdr:cNvPicPr>
      </xdr:nvPicPr>
      <xdr:blipFill>
        <a:blip xmlns:r="http://schemas.openxmlformats.org/officeDocument/2006/relationships" r:embed="rId11" cstate="print"/>
        <a:srcRect/>
        <a:stretch>
          <a:fillRect/>
        </a:stretch>
      </xdr:blipFill>
      <xdr:spPr bwMode="auto">
        <a:xfrm>
          <a:off x="168088" y="13984941"/>
          <a:ext cx="1038225" cy="304800"/>
        </a:xfrm>
        <a:prstGeom prst="rect">
          <a:avLst/>
        </a:prstGeom>
        <a:noFill/>
        <a:ln w="9525">
          <a:noFill/>
          <a:miter lim="800000"/>
          <a:headEnd/>
          <a:tailEnd/>
        </a:ln>
      </xdr:spPr>
    </xdr:pic>
    <xdr:clientData/>
  </xdr:twoCellAnchor>
  <xdr:twoCellAnchor>
    <xdr:from>
      <xdr:col>0</xdr:col>
      <xdr:colOff>134470</xdr:colOff>
      <xdr:row>77</xdr:row>
      <xdr:rowOff>56030</xdr:rowOff>
    </xdr:from>
    <xdr:to>
      <xdr:col>1</xdr:col>
      <xdr:colOff>563095</xdr:colOff>
      <xdr:row>78</xdr:row>
      <xdr:rowOff>513230</xdr:rowOff>
    </xdr:to>
    <xdr:pic>
      <xdr:nvPicPr>
        <xdr:cNvPr id="60" name="Picture 24"/>
        <xdr:cNvPicPr>
          <a:picLocks noChangeAspect="1" noChangeArrowheads="1"/>
        </xdr:cNvPicPr>
      </xdr:nvPicPr>
      <xdr:blipFill>
        <a:blip xmlns:r="http://schemas.openxmlformats.org/officeDocument/2006/relationships" r:embed="rId11" cstate="print"/>
        <a:srcRect/>
        <a:stretch>
          <a:fillRect/>
        </a:stretch>
      </xdr:blipFill>
      <xdr:spPr bwMode="auto">
        <a:xfrm>
          <a:off x="134470" y="14724530"/>
          <a:ext cx="1038225" cy="323850"/>
        </a:xfrm>
        <a:prstGeom prst="rect">
          <a:avLst/>
        </a:prstGeom>
        <a:noFill/>
        <a:ln w="9525">
          <a:noFill/>
          <a:miter lim="800000"/>
          <a:headEnd/>
          <a:tailEnd/>
        </a:ln>
      </xdr:spPr>
    </xdr:pic>
    <xdr:clientData/>
  </xdr:twoCellAnchor>
  <xdr:twoCellAnchor>
    <xdr:from>
      <xdr:col>3</xdr:col>
      <xdr:colOff>47625</xdr:colOff>
      <xdr:row>80</xdr:row>
      <xdr:rowOff>38100</xdr:rowOff>
    </xdr:from>
    <xdr:to>
      <xdr:col>3</xdr:col>
      <xdr:colOff>590550</xdr:colOff>
      <xdr:row>80</xdr:row>
      <xdr:rowOff>571500</xdr:rowOff>
    </xdr:to>
    <xdr:pic>
      <xdr:nvPicPr>
        <xdr:cNvPr id="61" name="Picture 3"/>
        <xdr:cNvPicPr>
          <a:picLocks noChangeAspect="1" noChangeArrowheads="1"/>
        </xdr:cNvPicPr>
      </xdr:nvPicPr>
      <xdr:blipFill>
        <a:blip xmlns:r="http://schemas.openxmlformats.org/officeDocument/2006/relationships" r:embed="rId8" cstate="print"/>
        <a:srcRect/>
        <a:stretch>
          <a:fillRect/>
        </a:stretch>
      </xdr:blipFill>
      <xdr:spPr bwMode="auto">
        <a:xfrm>
          <a:off x="1876425" y="15278100"/>
          <a:ext cx="542925" cy="152400"/>
        </a:xfrm>
        <a:prstGeom prst="rect">
          <a:avLst/>
        </a:prstGeom>
        <a:noFill/>
        <a:ln w="9525">
          <a:noFill/>
          <a:miter lim="800000"/>
          <a:headEnd/>
          <a:tailEnd/>
        </a:ln>
      </xdr:spPr>
    </xdr:pic>
    <xdr:clientData/>
  </xdr:twoCellAnchor>
  <xdr:twoCellAnchor>
    <xdr:from>
      <xdr:col>3</xdr:col>
      <xdr:colOff>47625</xdr:colOff>
      <xdr:row>81</xdr:row>
      <xdr:rowOff>38100</xdr:rowOff>
    </xdr:from>
    <xdr:to>
      <xdr:col>3</xdr:col>
      <xdr:colOff>590550</xdr:colOff>
      <xdr:row>81</xdr:row>
      <xdr:rowOff>571500</xdr:rowOff>
    </xdr:to>
    <xdr:pic>
      <xdr:nvPicPr>
        <xdr:cNvPr id="62" name="Picture 3"/>
        <xdr:cNvPicPr>
          <a:picLocks noChangeAspect="1" noChangeArrowheads="1"/>
        </xdr:cNvPicPr>
      </xdr:nvPicPr>
      <xdr:blipFill>
        <a:blip xmlns:r="http://schemas.openxmlformats.org/officeDocument/2006/relationships" r:embed="rId8" cstate="print"/>
        <a:srcRect/>
        <a:stretch>
          <a:fillRect/>
        </a:stretch>
      </xdr:blipFill>
      <xdr:spPr bwMode="auto">
        <a:xfrm>
          <a:off x="1876425" y="15468600"/>
          <a:ext cx="542925" cy="152400"/>
        </a:xfrm>
        <a:prstGeom prst="rect">
          <a:avLst/>
        </a:prstGeom>
        <a:noFill/>
        <a:ln w="9525">
          <a:noFill/>
          <a:miter lim="800000"/>
          <a:headEnd/>
          <a:tailEnd/>
        </a:ln>
      </xdr:spPr>
    </xdr:pic>
    <xdr:clientData/>
  </xdr:twoCellAnchor>
  <xdr:twoCellAnchor>
    <xdr:from>
      <xdr:col>0</xdr:col>
      <xdr:colOff>134471</xdr:colOff>
      <xdr:row>79</xdr:row>
      <xdr:rowOff>78441</xdr:rowOff>
    </xdr:from>
    <xdr:to>
      <xdr:col>1</xdr:col>
      <xdr:colOff>563096</xdr:colOff>
      <xdr:row>80</xdr:row>
      <xdr:rowOff>535641</xdr:rowOff>
    </xdr:to>
    <xdr:pic>
      <xdr:nvPicPr>
        <xdr:cNvPr id="63" name="Picture 24"/>
        <xdr:cNvPicPr>
          <a:picLocks noChangeAspect="1" noChangeArrowheads="1"/>
        </xdr:cNvPicPr>
      </xdr:nvPicPr>
      <xdr:blipFill>
        <a:blip xmlns:r="http://schemas.openxmlformats.org/officeDocument/2006/relationships" r:embed="rId11" cstate="print"/>
        <a:srcRect/>
        <a:stretch>
          <a:fillRect/>
        </a:stretch>
      </xdr:blipFill>
      <xdr:spPr bwMode="auto">
        <a:xfrm>
          <a:off x="134471" y="15127941"/>
          <a:ext cx="1038225" cy="304800"/>
        </a:xfrm>
        <a:prstGeom prst="rect">
          <a:avLst/>
        </a:prstGeom>
        <a:noFill/>
        <a:ln w="9525">
          <a:noFill/>
          <a:miter lim="800000"/>
          <a:headEnd/>
          <a:tailEnd/>
        </a:ln>
      </xdr:spPr>
    </xdr:pic>
    <xdr:clientData/>
  </xdr:twoCellAnchor>
  <xdr:twoCellAnchor>
    <xdr:from>
      <xdr:col>0</xdr:col>
      <xdr:colOff>145676</xdr:colOff>
      <xdr:row>81</xdr:row>
      <xdr:rowOff>44824</xdr:rowOff>
    </xdr:from>
    <xdr:to>
      <xdr:col>1</xdr:col>
      <xdr:colOff>574301</xdr:colOff>
      <xdr:row>82</xdr:row>
      <xdr:rowOff>502023</xdr:rowOff>
    </xdr:to>
    <xdr:pic>
      <xdr:nvPicPr>
        <xdr:cNvPr id="64" name="Picture 24"/>
        <xdr:cNvPicPr>
          <a:picLocks noChangeAspect="1" noChangeArrowheads="1"/>
        </xdr:cNvPicPr>
      </xdr:nvPicPr>
      <xdr:blipFill>
        <a:blip xmlns:r="http://schemas.openxmlformats.org/officeDocument/2006/relationships" r:embed="rId11" cstate="print"/>
        <a:srcRect/>
        <a:stretch>
          <a:fillRect/>
        </a:stretch>
      </xdr:blipFill>
      <xdr:spPr bwMode="auto">
        <a:xfrm>
          <a:off x="145676" y="15475324"/>
          <a:ext cx="1038225" cy="333374"/>
        </a:xfrm>
        <a:prstGeom prst="rect">
          <a:avLst/>
        </a:prstGeom>
        <a:noFill/>
        <a:ln w="9525">
          <a:noFill/>
          <a:miter lim="800000"/>
          <a:headEnd/>
          <a:tailEnd/>
        </a:ln>
      </xdr:spPr>
    </xdr:pic>
    <xdr:clientData/>
  </xdr:twoCellAnchor>
  <xdr:twoCellAnchor>
    <xdr:from>
      <xdr:col>0</xdr:col>
      <xdr:colOff>114299</xdr:colOff>
      <xdr:row>30</xdr:row>
      <xdr:rowOff>85723</xdr:rowOff>
    </xdr:from>
    <xdr:to>
      <xdr:col>1</xdr:col>
      <xdr:colOff>552449</xdr:colOff>
      <xdr:row>31</xdr:row>
      <xdr:rowOff>555251</xdr:rowOff>
    </xdr:to>
    <xdr:pic>
      <xdr:nvPicPr>
        <xdr:cNvPr id="65" name="Picture 16"/>
        <xdr:cNvPicPr>
          <a:picLocks noChangeAspect="1" noChangeArrowheads="1"/>
        </xdr:cNvPicPr>
      </xdr:nvPicPr>
      <xdr:blipFill>
        <a:blip xmlns:r="http://schemas.openxmlformats.org/officeDocument/2006/relationships" r:embed="rId12" cstate="print"/>
        <a:srcRect/>
        <a:stretch>
          <a:fillRect/>
        </a:stretch>
      </xdr:blipFill>
      <xdr:spPr bwMode="auto">
        <a:xfrm>
          <a:off x="114299" y="5800723"/>
          <a:ext cx="1047750" cy="298078"/>
        </a:xfrm>
        <a:prstGeom prst="rect">
          <a:avLst/>
        </a:prstGeom>
        <a:noFill/>
        <a:ln w="9525">
          <a:noFill/>
          <a:miter lim="800000"/>
          <a:headEnd/>
          <a:tailEnd/>
        </a:ln>
      </xdr:spPr>
    </xdr:pic>
    <xdr:clientData/>
  </xdr:twoCellAnchor>
  <xdr:twoCellAnchor>
    <xdr:from>
      <xdr:col>0</xdr:col>
      <xdr:colOff>123265</xdr:colOff>
      <xdr:row>32</xdr:row>
      <xdr:rowOff>67235</xdr:rowOff>
    </xdr:from>
    <xdr:to>
      <xdr:col>1</xdr:col>
      <xdr:colOff>561415</xdr:colOff>
      <xdr:row>33</xdr:row>
      <xdr:rowOff>536763</xdr:rowOff>
    </xdr:to>
    <xdr:pic>
      <xdr:nvPicPr>
        <xdr:cNvPr id="66" name="Picture 16"/>
        <xdr:cNvPicPr>
          <a:picLocks noChangeAspect="1" noChangeArrowheads="1"/>
        </xdr:cNvPicPr>
      </xdr:nvPicPr>
      <xdr:blipFill>
        <a:blip xmlns:r="http://schemas.openxmlformats.org/officeDocument/2006/relationships" r:embed="rId12" cstate="print"/>
        <a:srcRect/>
        <a:stretch>
          <a:fillRect/>
        </a:stretch>
      </xdr:blipFill>
      <xdr:spPr bwMode="auto">
        <a:xfrm>
          <a:off x="123265" y="6163235"/>
          <a:ext cx="1047750" cy="317128"/>
        </a:xfrm>
        <a:prstGeom prst="rect">
          <a:avLst/>
        </a:prstGeom>
        <a:noFill/>
        <a:ln w="9525">
          <a:noFill/>
          <a:miter lim="800000"/>
          <a:headEnd/>
          <a:tailEnd/>
        </a:ln>
      </xdr:spPr>
    </xdr:pic>
    <xdr:clientData/>
  </xdr:twoCellAnchor>
  <xdr:twoCellAnchor>
    <xdr:from>
      <xdr:col>0</xdr:col>
      <xdr:colOff>112059</xdr:colOff>
      <xdr:row>40</xdr:row>
      <xdr:rowOff>56029</xdr:rowOff>
    </xdr:from>
    <xdr:to>
      <xdr:col>1</xdr:col>
      <xdr:colOff>550209</xdr:colOff>
      <xdr:row>41</xdr:row>
      <xdr:rowOff>522753</xdr:rowOff>
    </xdr:to>
    <xdr:pic>
      <xdr:nvPicPr>
        <xdr:cNvPr id="67" name="Picture 20"/>
        <xdr:cNvPicPr>
          <a:picLocks noChangeAspect="1" noChangeArrowheads="1"/>
        </xdr:cNvPicPr>
      </xdr:nvPicPr>
      <xdr:blipFill>
        <a:blip xmlns:r="http://schemas.openxmlformats.org/officeDocument/2006/relationships" r:embed="rId2" cstate="print"/>
        <a:srcRect/>
        <a:stretch>
          <a:fillRect/>
        </a:stretch>
      </xdr:blipFill>
      <xdr:spPr bwMode="auto">
        <a:xfrm>
          <a:off x="112059" y="7676029"/>
          <a:ext cx="1047750" cy="323849"/>
        </a:xfrm>
        <a:prstGeom prst="rect">
          <a:avLst/>
        </a:prstGeom>
        <a:noFill/>
        <a:ln w="9525">
          <a:noFill/>
          <a:miter lim="800000"/>
          <a:headEnd/>
          <a:tailEnd/>
        </a:ln>
      </xdr:spPr>
    </xdr:pic>
    <xdr:clientData/>
  </xdr:twoCellAnchor>
  <xdr:twoCellAnchor>
    <xdr:from>
      <xdr:col>0</xdr:col>
      <xdr:colOff>123265</xdr:colOff>
      <xdr:row>36</xdr:row>
      <xdr:rowOff>78442</xdr:rowOff>
    </xdr:from>
    <xdr:to>
      <xdr:col>1</xdr:col>
      <xdr:colOff>561415</xdr:colOff>
      <xdr:row>37</xdr:row>
      <xdr:rowOff>545167</xdr:rowOff>
    </xdr:to>
    <xdr:pic>
      <xdr:nvPicPr>
        <xdr:cNvPr id="68" name="Picture 17"/>
        <xdr:cNvPicPr>
          <a:picLocks noChangeAspect="1" noChangeArrowheads="1"/>
        </xdr:cNvPicPr>
      </xdr:nvPicPr>
      <xdr:blipFill>
        <a:blip xmlns:r="http://schemas.openxmlformats.org/officeDocument/2006/relationships" r:embed="rId1" cstate="print"/>
        <a:srcRect/>
        <a:stretch>
          <a:fillRect/>
        </a:stretch>
      </xdr:blipFill>
      <xdr:spPr bwMode="auto">
        <a:xfrm>
          <a:off x="123265" y="6936442"/>
          <a:ext cx="1047750" cy="304800"/>
        </a:xfrm>
        <a:prstGeom prst="rect">
          <a:avLst/>
        </a:prstGeom>
        <a:noFill/>
        <a:ln w="9525">
          <a:noFill/>
          <a:miter lim="800000"/>
          <a:headEnd/>
          <a:tailEnd/>
        </a:ln>
      </xdr:spPr>
    </xdr:pic>
    <xdr:clientData/>
  </xdr:twoCellAnchor>
  <xdr:twoCellAnchor>
    <xdr:from>
      <xdr:col>0</xdr:col>
      <xdr:colOff>78441</xdr:colOff>
      <xdr:row>2</xdr:row>
      <xdr:rowOff>33617</xdr:rowOff>
    </xdr:from>
    <xdr:to>
      <xdr:col>1</xdr:col>
      <xdr:colOff>564216</xdr:colOff>
      <xdr:row>3</xdr:row>
      <xdr:rowOff>547967</xdr:rowOff>
    </xdr:to>
    <xdr:pic>
      <xdr:nvPicPr>
        <xdr:cNvPr id="69" name="Picture 12"/>
        <xdr:cNvPicPr>
          <a:picLocks noChangeAspect="1" noChangeArrowheads="1"/>
        </xdr:cNvPicPr>
      </xdr:nvPicPr>
      <xdr:blipFill>
        <a:blip xmlns:r="http://schemas.openxmlformats.org/officeDocument/2006/relationships" r:embed="rId4" cstate="print"/>
        <a:srcRect/>
        <a:stretch>
          <a:fillRect/>
        </a:stretch>
      </xdr:blipFill>
      <xdr:spPr bwMode="auto">
        <a:xfrm>
          <a:off x="78441" y="414617"/>
          <a:ext cx="1095375" cy="342900"/>
        </a:xfrm>
        <a:prstGeom prst="rect">
          <a:avLst/>
        </a:prstGeom>
        <a:noFill/>
        <a:ln w="9525">
          <a:noFill/>
          <a:miter lim="800000"/>
          <a:headEnd/>
          <a:tailEnd/>
        </a:ln>
      </xdr:spPr>
    </xdr:pic>
    <xdr:clientData/>
  </xdr:twoCellAnchor>
  <xdr:twoCellAnchor>
    <xdr:from>
      <xdr:col>3</xdr:col>
      <xdr:colOff>66675</xdr:colOff>
      <xdr:row>5</xdr:row>
      <xdr:rowOff>19050</xdr:rowOff>
    </xdr:from>
    <xdr:to>
      <xdr:col>3</xdr:col>
      <xdr:colOff>609600</xdr:colOff>
      <xdr:row>5</xdr:row>
      <xdr:rowOff>561975</xdr:rowOff>
    </xdr:to>
    <xdr:pic>
      <xdr:nvPicPr>
        <xdr:cNvPr id="70" name="Picture 1"/>
        <xdr:cNvPicPr>
          <a:picLocks noChangeAspect="1" noChangeArrowheads="1"/>
        </xdr:cNvPicPr>
      </xdr:nvPicPr>
      <xdr:blipFill>
        <a:blip xmlns:r="http://schemas.openxmlformats.org/officeDocument/2006/relationships" r:embed="rId6" cstate="print"/>
        <a:srcRect/>
        <a:stretch>
          <a:fillRect/>
        </a:stretch>
      </xdr:blipFill>
      <xdr:spPr bwMode="auto">
        <a:xfrm>
          <a:off x="1895475" y="971550"/>
          <a:ext cx="542925" cy="171450"/>
        </a:xfrm>
        <a:prstGeom prst="rect">
          <a:avLst/>
        </a:prstGeom>
        <a:noFill/>
        <a:ln w="9525">
          <a:noFill/>
          <a:miter lim="800000"/>
          <a:headEnd/>
          <a:tailEnd/>
        </a:ln>
      </xdr:spPr>
    </xdr:pic>
    <xdr:clientData/>
  </xdr:twoCellAnchor>
  <xdr:twoCellAnchor>
    <xdr:from>
      <xdr:col>0</xdr:col>
      <xdr:colOff>89647</xdr:colOff>
      <xdr:row>4</xdr:row>
      <xdr:rowOff>22411</xdr:rowOff>
    </xdr:from>
    <xdr:to>
      <xdr:col>1</xdr:col>
      <xdr:colOff>575422</xdr:colOff>
      <xdr:row>5</xdr:row>
      <xdr:rowOff>536761</xdr:rowOff>
    </xdr:to>
    <xdr:pic>
      <xdr:nvPicPr>
        <xdr:cNvPr id="71" name="Picture 12"/>
        <xdr:cNvPicPr>
          <a:picLocks noChangeAspect="1" noChangeArrowheads="1"/>
        </xdr:cNvPicPr>
      </xdr:nvPicPr>
      <xdr:blipFill>
        <a:blip xmlns:r="http://schemas.openxmlformats.org/officeDocument/2006/relationships" r:embed="rId4" cstate="print"/>
        <a:srcRect/>
        <a:stretch>
          <a:fillRect/>
        </a:stretch>
      </xdr:blipFill>
      <xdr:spPr bwMode="auto">
        <a:xfrm>
          <a:off x="89647" y="784411"/>
          <a:ext cx="1095375" cy="361950"/>
        </a:xfrm>
        <a:prstGeom prst="rect">
          <a:avLst/>
        </a:prstGeom>
        <a:noFill/>
        <a:ln w="9525">
          <a:noFill/>
          <a:miter lim="800000"/>
          <a:headEnd/>
          <a:tailEnd/>
        </a:ln>
      </xdr:spPr>
    </xdr:pic>
    <xdr:clientData/>
  </xdr:twoCellAnchor>
  <xdr:twoCellAnchor>
    <xdr:from>
      <xdr:col>2</xdr:col>
      <xdr:colOff>56030</xdr:colOff>
      <xdr:row>2</xdr:row>
      <xdr:rowOff>11206</xdr:rowOff>
    </xdr:from>
    <xdr:to>
      <xdr:col>2</xdr:col>
      <xdr:colOff>598955</xdr:colOff>
      <xdr:row>2</xdr:row>
      <xdr:rowOff>554131</xdr:rowOff>
    </xdr:to>
    <xdr:pic>
      <xdr:nvPicPr>
        <xdr:cNvPr id="72" name="Picture 2"/>
        <xdr:cNvPicPr>
          <a:picLocks noChangeAspect="1" noChangeArrowheads="1"/>
        </xdr:cNvPicPr>
      </xdr:nvPicPr>
      <xdr:blipFill>
        <a:blip xmlns:r="http://schemas.openxmlformats.org/officeDocument/2006/relationships" r:embed="rId9" cstate="print"/>
        <a:srcRect/>
        <a:stretch>
          <a:fillRect/>
        </a:stretch>
      </xdr:blipFill>
      <xdr:spPr bwMode="auto">
        <a:xfrm>
          <a:off x="1275230" y="392206"/>
          <a:ext cx="542925" cy="180975"/>
        </a:xfrm>
        <a:prstGeom prst="rect">
          <a:avLst/>
        </a:prstGeom>
        <a:noFill/>
        <a:ln w="9525">
          <a:noFill/>
          <a:miter lim="800000"/>
          <a:headEnd/>
          <a:tailEnd/>
        </a:ln>
      </xdr:spPr>
    </xdr:pic>
    <xdr:clientData/>
  </xdr:twoCellAnchor>
  <xdr:twoCellAnchor>
    <xdr:from>
      <xdr:col>2</xdr:col>
      <xdr:colOff>44824</xdr:colOff>
      <xdr:row>3</xdr:row>
      <xdr:rowOff>11206</xdr:rowOff>
    </xdr:from>
    <xdr:to>
      <xdr:col>2</xdr:col>
      <xdr:colOff>587749</xdr:colOff>
      <xdr:row>3</xdr:row>
      <xdr:rowOff>554131</xdr:rowOff>
    </xdr:to>
    <xdr:pic>
      <xdr:nvPicPr>
        <xdr:cNvPr id="73" name="Picture 2"/>
        <xdr:cNvPicPr>
          <a:picLocks noChangeAspect="1" noChangeArrowheads="1"/>
        </xdr:cNvPicPr>
      </xdr:nvPicPr>
      <xdr:blipFill>
        <a:blip xmlns:r="http://schemas.openxmlformats.org/officeDocument/2006/relationships" r:embed="rId9" cstate="print"/>
        <a:srcRect/>
        <a:stretch>
          <a:fillRect/>
        </a:stretch>
      </xdr:blipFill>
      <xdr:spPr bwMode="auto">
        <a:xfrm>
          <a:off x="1264024" y="582706"/>
          <a:ext cx="542925" cy="180975"/>
        </a:xfrm>
        <a:prstGeom prst="rect">
          <a:avLst/>
        </a:prstGeom>
        <a:noFill/>
        <a:ln w="9525">
          <a:noFill/>
          <a:miter lim="800000"/>
          <a:headEnd/>
          <a:tailEnd/>
        </a:ln>
      </xdr:spPr>
    </xdr:pic>
    <xdr:clientData/>
  </xdr:twoCellAnchor>
  <xdr:twoCellAnchor>
    <xdr:from>
      <xdr:col>2</xdr:col>
      <xdr:colOff>66675</xdr:colOff>
      <xdr:row>7</xdr:row>
      <xdr:rowOff>19050</xdr:rowOff>
    </xdr:from>
    <xdr:to>
      <xdr:col>2</xdr:col>
      <xdr:colOff>609600</xdr:colOff>
      <xdr:row>7</xdr:row>
      <xdr:rowOff>561975</xdr:rowOff>
    </xdr:to>
    <xdr:pic>
      <xdr:nvPicPr>
        <xdr:cNvPr id="74" name="Picture 2"/>
        <xdr:cNvPicPr>
          <a:picLocks noChangeAspect="1" noChangeArrowheads="1"/>
        </xdr:cNvPicPr>
      </xdr:nvPicPr>
      <xdr:blipFill>
        <a:blip xmlns:r="http://schemas.openxmlformats.org/officeDocument/2006/relationships" r:embed="rId7" cstate="print"/>
        <a:srcRect/>
        <a:stretch>
          <a:fillRect/>
        </a:stretch>
      </xdr:blipFill>
      <xdr:spPr bwMode="auto">
        <a:xfrm>
          <a:off x="1285875" y="1352550"/>
          <a:ext cx="542925" cy="171450"/>
        </a:xfrm>
        <a:prstGeom prst="rect">
          <a:avLst/>
        </a:prstGeom>
        <a:noFill/>
        <a:ln w="9525">
          <a:noFill/>
          <a:miter lim="800000"/>
          <a:headEnd/>
          <a:tailEnd/>
        </a:ln>
      </xdr:spPr>
    </xdr:pic>
    <xdr:clientData/>
  </xdr:twoCellAnchor>
  <xdr:twoCellAnchor>
    <xdr:from>
      <xdr:col>0</xdr:col>
      <xdr:colOff>112060</xdr:colOff>
      <xdr:row>6</xdr:row>
      <xdr:rowOff>56030</xdr:rowOff>
    </xdr:from>
    <xdr:to>
      <xdr:col>1</xdr:col>
      <xdr:colOff>550210</xdr:colOff>
      <xdr:row>7</xdr:row>
      <xdr:rowOff>513230</xdr:rowOff>
    </xdr:to>
    <xdr:pic>
      <xdr:nvPicPr>
        <xdr:cNvPr id="75" name="Picture 12"/>
        <xdr:cNvPicPr>
          <a:picLocks noChangeAspect="1" noChangeArrowheads="1"/>
        </xdr:cNvPicPr>
      </xdr:nvPicPr>
      <xdr:blipFill>
        <a:blip xmlns:r="http://schemas.openxmlformats.org/officeDocument/2006/relationships" r:embed="rId4" cstate="print"/>
        <a:srcRect/>
        <a:stretch>
          <a:fillRect/>
        </a:stretch>
      </xdr:blipFill>
      <xdr:spPr bwMode="auto">
        <a:xfrm>
          <a:off x="112060" y="1199030"/>
          <a:ext cx="1047750" cy="323850"/>
        </a:xfrm>
        <a:prstGeom prst="rect">
          <a:avLst/>
        </a:prstGeom>
        <a:noFill/>
        <a:ln w="9525">
          <a:noFill/>
          <a:miter lim="800000"/>
          <a:headEnd/>
          <a:tailEnd/>
        </a:ln>
      </xdr:spPr>
    </xdr:pic>
    <xdr:clientData/>
  </xdr:twoCellAnchor>
  <xdr:twoCellAnchor>
    <xdr:from>
      <xdr:col>3</xdr:col>
      <xdr:colOff>56030</xdr:colOff>
      <xdr:row>9</xdr:row>
      <xdr:rowOff>22412</xdr:rowOff>
    </xdr:from>
    <xdr:to>
      <xdr:col>3</xdr:col>
      <xdr:colOff>598955</xdr:colOff>
      <xdr:row>9</xdr:row>
      <xdr:rowOff>565337</xdr:rowOff>
    </xdr:to>
    <xdr:pic>
      <xdr:nvPicPr>
        <xdr:cNvPr id="76" name="Picture 3"/>
        <xdr:cNvPicPr>
          <a:picLocks noChangeAspect="1" noChangeArrowheads="1"/>
        </xdr:cNvPicPr>
      </xdr:nvPicPr>
      <xdr:blipFill>
        <a:blip xmlns:r="http://schemas.openxmlformats.org/officeDocument/2006/relationships" r:embed="rId8" cstate="print"/>
        <a:srcRect/>
        <a:stretch>
          <a:fillRect/>
        </a:stretch>
      </xdr:blipFill>
      <xdr:spPr bwMode="auto">
        <a:xfrm>
          <a:off x="1884830" y="1736912"/>
          <a:ext cx="542925" cy="171450"/>
        </a:xfrm>
        <a:prstGeom prst="rect">
          <a:avLst/>
        </a:prstGeom>
        <a:noFill/>
        <a:ln w="9525">
          <a:noFill/>
          <a:miter lim="800000"/>
          <a:headEnd/>
          <a:tailEnd/>
        </a:ln>
      </xdr:spPr>
    </xdr:pic>
    <xdr:clientData/>
  </xdr:twoCellAnchor>
  <xdr:twoCellAnchor>
    <xdr:from>
      <xdr:col>0</xdr:col>
      <xdr:colOff>112059</xdr:colOff>
      <xdr:row>8</xdr:row>
      <xdr:rowOff>67236</xdr:rowOff>
    </xdr:from>
    <xdr:to>
      <xdr:col>1</xdr:col>
      <xdr:colOff>550209</xdr:colOff>
      <xdr:row>9</xdr:row>
      <xdr:rowOff>524436</xdr:rowOff>
    </xdr:to>
    <xdr:pic>
      <xdr:nvPicPr>
        <xdr:cNvPr id="77" name="Picture 12"/>
        <xdr:cNvPicPr>
          <a:picLocks noChangeAspect="1" noChangeArrowheads="1"/>
        </xdr:cNvPicPr>
      </xdr:nvPicPr>
      <xdr:blipFill>
        <a:blip xmlns:r="http://schemas.openxmlformats.org/officeDocument/2006/relationships" r:embed="rId4" cstate="print"/>
        <a:srcRect/>
        <a:stretch>
          <a:fillRect/>
        </a:stretch>
      </xdr:blipFill>
      <xdr:spPr bwMode="auto">
        <a:xfrm>
          <a:off x="112059" y="1591236"/>
          <a:ext cx="1047750" cy="314325"/>
        </a:xfrm>
        <a:prstGeom prst="rect">
          <a:avLst/>
        </a:prstGeom>
        <a:noFill/>
        <a:ln w="9525">
          <a:noFill/>
          <a:miter lim="800000"/>
          <a:headEnd/>
          <a:tailEnd/>
        </a:ln>
      </xdr:spPr>
    </xdr:pic>
    <xdr:clientData/>
  </xdr:twoCellAnchor>
  <xdr:twoCellAnchor>
    <xdr:from>
      <xdr:col>2</xdr:col>
      <xdr:colOff>47625</xdr:colOff>
      <xdr:row>23</xdr:row>
      <xdr:rowOff>19050</xdr:rowOff>
    </xdr:from>
    <xdr:to>
      <xdr:col>2</xdr:col>
      <xdr:colOff>590550</xdr:colOff>
      <xdr:row>23</xdr:row>
      <xdr:rowOff>561975</xdr:rowOff>
    </xdr:to>
    <xdr:pic>
      <xdr:nvPicPr>
        <xdr:cNvPr id="78" name="Picture 2"/>
        <xdr:cNvPicPr>
          <a:picLocks noChangeAspect="1" noChangeArrowheads="1"/>
        </xdr:cNvPicPr>
      </xdr:nvPicPr>
      <xdr:blipFill>
        <a:blip xmlns:r="http://schemas.openxmlformats.org/officeDocument/2006/relationships" r:embed="rId9" cstate="print"/>
        <a:srcRect/>
        <a:stretch>
          <a:fillRect/>
        </a:stretch>
      </xdr:blipFill>
      <xdr:spPr bwMode="auto">
        <a:xfrm>
          <a:off x="1266825" y="4400550"/>
          <a:ext cx="542925" cy="171450"/>
        </a:xfrm>
        <a:prstGeom prst="rect">
          <a:avLst/>
        </a:prstGeom>
        <a:noFill/>
        <a:ln w="9525">
          <a:noFill/>
          <a:miter lim="800000"/>
          <a:headEnd/>
          <a:tailEnd/>
        </a:ln>
      </xdr:spPr>
    </xdr:pic>
    <xdr:clientData/>
  </xdr:twoCellAnchor>
  <xdr:twoCellAnchor>
    <xdr:from>
      <xdr:col>0</xdr:col>
      <xdr:colOff>123265</xdr:colOff>
      <xdr:row>22</xdr:row>
      <xdr:rowOff>33618</xdr:rowOff>
    </xdr:from>
    <xdr:to>
      <xdr:col>1</xdr:col>
      <xdr:colOff>561415</xdr:colOff>
      <xdr:row>23</xdr:row>
      <xdr:rowOff>547968</xdr:rowOff>
    </xdr:to>
    <xdr:pic>
      <xdr:nvPicPr>
        <xdr:cNvPr id="79" name="Picture 14"/>
        <xdr:cNvPicPr>
          <a:picLocks noChangeAspect="1" noChangeArrowheads="1"/>
        </xdr:cNvPicPr>
      </xdr:nvPicPr>
      <xdr:blipFill>
        <a:blip xmlns:r="http://schemas.openxmlformats.org/officeDocument/2006/relationships" r:embed="rId13" cstate="print"/>
        <a:srcRect/>
        <a:stretch>
          <a:fillRect/>
        </a:stretch>
      </xdr:blipFill>
      <xdr:spPr bwMode="auto">
        <a:xfrm>
          <a:off x="123265" y="4224618"/>
          <a:ext cx="1047750" cy="342900"/>
        </a:xfrm>
        <a:prstGeom prst="rect">
          <a:avLst/>
        </a:prstGeom>
        <a:noFill/>
        <a:ln w="9525">
          <a:noFill/>
          <a:miter lim="800000"/>
          <a:headEnd/>
          <a:tailEnd/>
        </a:ln>
      </xdr:spPr>
    </xdr:pic>
    <xdr:clientData/>
  </xdr:twoCellAnchor>
  <xdr:twoCellAnchor>
    <xdr:from>
      <xdr:col>3</xdr:col>
      <xdr:colOff>57150</xdr:colOff>
      <xdr:row>25</xdr:row>
      <xdr:rowOff>9525</xdr:rowOff>
    </xdr:from>
    <xdr:to>
      <xdr:col>3</xdr:col>
      <xdr:colOff>600075</xdr:colOff>
      <xdr:row>25</xdr:row>
      <xdr:rowOff>552450</xdr:rowOff>
    </xdr:to>
    <xdr:pic>
      <xdr:nvPicPr>
        <xdr:cNvPr id="80" name="Picture 1"/>
        <xdr:cNvPicPr>
          <a:picLocks noChangeAspect="1" noChangeArrowheads="1"/>
        </xdr:cNvPicPr>
      </xdr:nvPicPr>
      <xdr:blipFill>
        <a:blip xmlns:r="http://schemas.openxmlformats.org/officeDocument/2006/relationships" r:embed="rId6" cstate="print"/>
        <a:srcRect/>
        <a:stretch>
          <a:fillRect/>
        </a:stretch>
      </xdr:blipFill>
      <xdr:spPr bwMode="auto">
        <a:xfrm>
          <a:off x="1885950" y="4772025"/>
          <a:ext cx="542925" cy="180975"/>
        </a:xfrm>
        <a:prstGeom prst="rect">
          <a:avLst/>
        </a:prstGeom>
        <a:noFill/>
        <a:ln w="9525">
          <a:noFill/>
          <a:miter lim="800000"/>
          <a:headEnd/>
          <a:tailEnd/>
        </a:ln>
      </xdr:spPr>
    </xdr:pic>
    <xdr:clientData/>
  </xdr:twoCellAnchor>
  <xdr:twoCellAnchor>
    <xdr:from>
      <xdr:col>0</xdr:col>
      <xdr:colOff>134471</xdr:colOff>
      <xdr:row>24</xdr:row>
      <xdr:rowOff>22412</xdr:rowOff>
    </xdr:from>
    <xdr:to>
      <xdr:col>1</xdr:col>
      <xdr:colOff>572621</xdr:colOff>
      <xdr:row>25</xdr:row>
      <xdr:rowOff>536762</xdr:rowOff>
    </xdr:to>
    <xdr:pic>
      <xdr:nvPicPr>
        <xdr:cNvPr id="81" name="Picture 14"/>
        <xdr:cNvPicPr>
          <a:picLocks noChangeAspect="1" noChangeArrowheads="1"/>
        </xdr:cNvPicPr>
      </xdr:nvPicPr>
      <xdr:blipFill>
        <a:blip xmlns:r="http://schemas.openxmlformats.org/officeDocument/2006/relationships" r:embed="rId13" cstate="print"/>
        <a:srcRect/>
        <a:stretch>
          <a:fillRect/>
        </a:stretch>
      </xdr:blipFill>
      <xdr:spPr bwMode="auto">
        <a:xfrm>
          <a:off x="134471" y="4594412"/>
          <a:ext cx="1047750" cy="361950"/>
        </a:xfrm>
        <a:prstGeom prst="rect">
          <a:avLst/>
        </a:prstGeom>
        <a:noFill/>
        <a:ln w="9525">
          <a:noFill/>
          <a:miter lim="800000"/>
          <a:headEnd/>
          <a:tailEnd/>
        </a:ln>
      </xdr:spPr>
    </xdr:pic>
    <xdr:clientData/>
  </xdr:twoCellAnchor>
  <xdr:twoCellAnchor>
    <xdr:from>
      <xdr:col>2</xdr:col>
      <xdr:colOff>57150</xdr:colOff>
      <xdr:row>27</xdr:row>
      <xdr:rowOff>19050</xdr:rowOff>
    </xdr:from>
    <xdr:to>
      <xdr:col>2</xdr:col>
      <xdr:colOff>600075</xdr:colOff>
      <xdr:row>27</xdr:row>
      <xdr:rowOff>561975</xdr:rowOff>
    </xdr:to>
    <xdr:pic>
      <xdr:nvPicPr>
        <xdr:cNvPr id="82" name="Picture 2"/>
        <xdr:cNvPicPr>
          <a:picLocks noChangeAspect="1" noChangeArrowheads="1"/>
        </xdr:cNvPicPr>
      </xdr:nvPicPr>
      <xdr:blipFill>
        <a:blip xmlns:r="http://schemas.openxmlformats.org/officeDocument/2006/relationships" r:embed="rId7" cstate="print"/>
        <a:srcRect/>
        <a:stretch>
          <a:fillRect/>
        </a:stretch>
      </xdr:blipFill>
      <xdr:spPr bwMode="auto">
        <a:xfrm>
          <a:off x="1276350" y="5162550"/>
          <a:ext cx="542925" cy="171450"/>
        </a:xfrm>
        <a:prstGeom prst="rect">
          <a:avLst/>
        </a:prstGeom>
        <a:noFill/>
        <a:ln w="9525">
          <a:noFill/>
          <a:miter lim="800000"/>
          <a:headEnd/>
          <a:tailEnd/>
        </a:ln>
      </xdr:spPr>
    </xdr:pic>
    <xdr:clientData/>
  </xdr:twoCellAnchor>
  <xdr:twoCellAnchor>
    <xdr:from>
      <xdr:col>3</xdr:col>
      <xdr:colOff>57150</xdr:colOff>
      <xdr:row>28</xdr:row>
      <xdr:rowOff>19050</xdr:rowOff>
    </xdr:from>
    <xdr:to>
      <xdr:col>3</xdr:col>
      <xdr:colOff>600075</xdr:colOff>
      <xdr:row>28</xdr:row>
      <xdr:rowOff>561975</xdr:rowOff>
    </xdr:to>
    <xdr:pic>
      <xdr:nvPicPr>
        <xdr:cNvPr id="83" name="Picture 3"/>
        <xdr:cNvPicPr>
          <a:picLocks noChangeAspect="1" noChangeArrowheads="1"/>
        </xdr:cNvPicPr>
      </xdr:nvPicPr>
      <xdr:blipFill>
        <a:blip xmlns:r="http://schemas.openxmlformats.org/officeDocument/2006/relationships" r:embed="rId8" cstate="print"/>
        <a:srcRect/>
        <a:stretch>
          <a:fillRect/>
        </a:stretch>
      </xdr:blipFill>
      <xdr:spPr bwMode="auto">
        <a:xfrm>
          <a:off x="1885950" y="5353050"/>
          <a:ext cx="542925" cy="171450"/>
        </a:xfrm>
        <a:prstGeom prst="rect">
          <a:avLst/>
        </a:prstGeom>
        <a:noFill/>
        <a:ln w="9525">
          <a:noFill/>
          <a:miter lim="800000"/>
          <a:headEnd/>
          <a:tailEnd/>
        </a:ln>
      </xdr:spPr>
    </xdr:pic>
    <xdr:clientData/>
  </xdr:twoCellAnchor>
  <xdr:twoCellAnchor>
    <xdr:from>
      <xdr:col>0</xdr:col>
      <xdr:colOff>134470</xdr:colOff>
      <xdr:row>26</xdr:row>
      <xdr:rowOff>33618</xdr:rowOff>
    </xdr:from>
    <xdr:to>
      <xdr:col>1</xdr:col>
      <xdr:colOff>572620</xdr:colOff>
      <xdr:row>27</xdr:row>
      <xdr:rowOff>547968</xdr:rowOff>
    </xdr:to>
    <xdr:pic>
      <xdr:nvPicPr>
        <xdr:cNvPr id="84" name="Picture 14"/>
        <xdr:cNvPicPr>
          <a:picLocks noChangeAspect="1" noChangeArrowheads="1"/>
        </xdr:cNvPicPr>
      </xdr:nvPicPr>
      <xdr:blipFill>
        <a:blip xmlns:r="http://schemas.openxmlformats.org/officeDocument/2006/relationships" r:embed="rId13" cstate="print"/>
        <a:srcRect/>
        <a:stretch>
          <a:fillRect/>
        </a:stretch>
      </xdr:blipFill>
      <xdr:spPr bwMode="auto">
        <a:xfrm>
          <a:off x="134470" y="4986618"/>
          <a:ext cx="1047750" cy="342900"/>
        </a:xfrm>
        <a:prstGeom prst="rect">
          <a:avLst/>
        </a:prstGeom>
        <a:noFill/>
        <a:ln w="9525">
          <a:noFill/>
          <a:miter lim="800000"/>
          <a:headEnd/>
          <a:tailEnd/>
        </a:ln>
      </xdr:spPr>
    </xdr:pic>
    <xdr:clientData/>
  </xdr:twoCellAnchor>
  <xdr:twoCellAnchor>
    <xdr:from>
      <xdr:col>0</xdr:col>
      <xdr:colOff>145677</xdr:colOff>
      <xdr:row>28</xdr:row>
      <xdr:rowOff>22412</xdr:rowOff>
    </xdr:from>
    <xdr:to>
      <xdr:col>1</xdr:col>
      <xdr:colOff>583827</xdr:colOff>
      <xdr:row>29</xdr:row>
      <xdr:rowOff>536762</xdr:rowOff>
    </xdr:to>
    <xdr:pic>
      <xdr:nvPicPr>
        <xdr:cNvPr id="85" name="Picture 14"/>
        <xdr:cNvPicPr>
          <a:picLocks noChangeAspect="1" noChangeArrowheads="1"/>
        </xdr:cNvPicPr>
      </xdr:nvPicPr>
      <xdr:blipFill>
        <a:blip xmlns:r="http://schemas.openxmlformats.org/officeDocument/2006/relationships" r:embed="rId13" cstate="print"/>
        <a:srcRect/>
        <a:stretch>
          <a:fillRect/>
        </a:stretch>
      </xdr:blipFill>
      <xdr:spPr bwMode="auto">
        <a:xfrm>
          <a:off x="145677" y="5356412"/>
          <a:ext cx="1047750" cy="361950"/>
        </a:xfrm>
        <a:prstGeom prst="rect">
          <a:avLst/>
        </a:prstGeom>
        <a:noFill/>
        <a:ln w="9525">
          <a:noFill/>
          <a:miter lim="800000"/>
          <a:headEnd/>
          <a:tailEnd/>
        </a:ln>
      </xdr:spPr>
    </xdr:pic>
    <xdr:clientData/>
  </xdr:twoCellAnchor>
  <xdr:twoCellAnchor>
    <xdr:from>
      <xdr:col>2</xdr:col>
      <xdr:colOff>57150</xdr:colOff>
      <xdr:row>19</xdr:row>
      <xdr:rowOff>19050</xdr:rowOff>
    </xdr:from>
    <xdr:to>
      <xdr:col>2</xdr:col>
      <xdr:colOff>600075</xdr:colOff>
      <xdr:row>19</xdr:row>
      <xdr:rowOff>561975</xdr:rowOff>
    </xdr:to>
    <xdr:pic>
      <xdr:nvPicPr>
        <xdr:cNvPr id="86" name="Picture 2"/>
        <xdr:cNvPicPr>
          <a:picLocks noChangeAspect="1" noChangeArrowheads="1"/>
        </xdr:cNvPicPr>
      </xdr:nvPicPr>
      <xdr:blipFill>
        <a:blip xmlns:r="http://schemas.openxmlformats.org/officeDocument/2006/relationships" r:embed="rId7" cstate="print"/>
        <a:srcRect/>
        <a:stretch>
          <a:fillRect/>
        </a:stretch>
      </xdr:blipFill>
      <xdr:spPr bwMode="auto">
        <a:xfrm>
          <a:off x="1276350" y="3638550"/>
          <a:ext cx="542925" cy="171450"/>
        </a:xfrm>
        <a:prstGeom prst="rect">
          <a:avLst/>
        </a:prstGeom>
        <a:noFill/>
        <a:ln w="9525">
          <a:noFill/>
          <a:miter lim="800000"/>
          <a:headEnd/>
          <a:tailEnd/>
        </a:ln>
      </xdr:spPr>
    </xdr:pic>
    <xdr:clientData/>
  </xdr:twoCellAnchor>
  <xdr:twoCellAnchor>
    <xdr:from>
      <xdr:col>3</xdr:col>
      <xdr:colOff>57150</xdr:colOff>
      <xdr:row>21</xdr:row>
      <xdr:rowOff>9525</xdr:rowOff>
    </xdr:from>
    <xdr:to>
      <xdr:col>3</xdr:col>
      <xdr:colOff>600075</xdr:colOff>
      <xdr:row>21</xdr:row>
      <xdr:rowOff>552450</xdr:rowOff>
    </xdr:to>
    <xdr:pic>
      <xdr:nvPicPr>
        <xdr:cNvPr id="87" name="Picture 3"/>
        <xdr:cNvPicPr>
          <a:picLocks noChangeAspect="1" noChangeArrowheads="1"/>
        </xdr:cNvPicPr>
      </xdr:nvPicPr>
      <xdr:blipFill>
        <a:blip xmlns:r="http://schemas.openxmlformats.org/officeDocument/2006/relationships" r:embed="rId8" cstate="print"/>
        <a:srcRect/>
        <a:stretch>
          <a:fillRect/>
        </a:stretch>
      </xdr:blipFill>
      <xdr:spPr bwMode="auto">
        <a:xfrm>
          <a:off x="1885950" y="4010025"/>
          <a:ext cx="542925" cy="180975"/>
        </a:xfrm>
        <a:prstGeom prst="rect">
          <a:avLst/>
        </a:prstGeom>
        <a:noFill/>
        <a:ln w="9525">
          <a:noFill/>
          <a:miter lim="800000"/>
          <a:headEnd/>
          <a:tailEnd/>
        </a:ln>
      </xdr:spPr>
    </xdr:pic>
    <xdr:clientData/>
  </xdr:twoCellAnchor>
  <xdr:twoCellAnchor>
    <xdr:from>
      <xdr:col>0</xdr:col>
      <xdr:colOff>123265</xdr:colOff>
      <xdr:row>18</xdr:row>
      <xdr:rowOff>33618</xdr:rowOff>
    </xdr:from>
    <xdr:to>
      <xdr:col>1</xdr:col>
      <xdr:colOff>561415</xdr:colOff>
      <xdr:row>19</xdr:row>
      <xdr:rowOff>547968</xdr:rowOff>
    </xdr:to>
    <xdr:pic>
      <xdr:nvPicPr>
        <xdr:cNvPr id="88" name="Picture 14"/>
        <xdr:cNvPicPr>
          <a:picLocks noChangeAspect="1" noChangeArrowheads="1"/>
        </xdr:cNvPicPr>
      </xdr:nvPicPr>
      <xdr:blipFill>
        <a:blip xmlns:r="http://schemas.openxmlformats.org/officeDocument/2006/relationships" r:embed="rId13" cstate="print"/>
        <a:srcRect/>
        <a:stretch>
          <a:fillRect/>
        </a:stretch>
      </xdr:blipFill>
      <xdr:spPr bwMode="auto">
        <a:xfrm>
          <a:off x="123265" y="3462618"/>
          <a:ext cx="1047750" cy="342900"/>
        </a:xfrm>
        <a:prstGeom prst="rect">
          <a:avLst/>
        </a:prstGeom>
        <a:noFill/>
        <a:ln w="9525">
          <a:noFill/>
          <a:miter lim="800000"/>
          <a:headEnd/>
          <a:tailEnd/>
        </a:ln>
      </xdr:spPr>
    </xdr:pic>
    <xdr:clientData/>
  </xdr:twoCellAnchor>
  <xdr:twoCellAnchor>
    <xdr:from>
      <xdr:col>0</xdr:col>
      <xdr:colOff>134471</xdr:colOff>
      <xdr:row>20</xdr:row>
      <xdr:rowOff>22412</xdr:rowOff>
    </xdr:from>
    <xdr:to>
      <xdr:col>1</xdr:col>
      <xdr:colOff>572621</xdr:colOff>
      <xdr:row>21</xdr:row>
      <xdr:rowOff>536762</xdr:rowOff>
    </xdr:to>
    <xdr:pic>
      <xdr:nvPicPr>
        <xdr:cNvPr id="89" name="Picture 14"/>
        <xdr:cNvPicPr>
          <a:picLocks noChangeAspect="1" noChangeArrowheads="1"/>
        </xdr:cNvPicPr>
      </xdr:nvPicPr>
      <xdr:blipFill>
        <a:blip xmlns:r="http://schemas.openxmlformats.org/officeDocument/2006/relationships" r:embed="rId13" cstate="print"/>
        <a:srcRect/>
        <a:stretch>
          <a:fillRect/>
        </a:stretch>
      </xdr:blipFill>
      <xdr:spPr bwMode="auto">
        <a:xfrm>
          <a:off x="134471" y="3832412"/>
          <a:ext cx="1047750" cy="361950"/>
        </a:xfrm>
        <a:prstGeom prst="rect">
          <a:avLst/>
        </a:prstGeom>
        <a:noFill/>
        <a:ln w="9525">
          <a:noFill/>
          <a:miter lim="800000"/>
          <a:headEnd/>
          <a:tailEnd/>
        </a:ln>
      </xdr:spPr>
    </xdr:pic>
    <xdr:clientData/>
  </xdr:twoCellAnchor>
  <xdr:twoCellAnchor>
    <xdr:from>
      <xdr:col>2</xdr:col>
      <xdr:colOff>47625</xdr:colOff>
      <xdr:row>15</xdr:row>
      <xdr:rowOff>19050</xdr:rowOff>
    </xdr:from>
    <xdr:to>
      <xdr:col>2</xdr:col>
      <xdr:colOff>590550</xdr:colOff>
      <xdr:row>15</xdr:row>
      <xdr:rowOff>561975</xdr:rowOff>
    </xdr:to>
    <xdr:pic>
      <xdr:nvPicPr>
        <xdr:cNvPr id="90" name="Picture 2"/>
        <xdr:cNvPicPr>
          <a:picLocks noChangeAspect="1" noChangeArrowheads="1"/>
        </xdr:cNvPicPr>
      </xdr:nvPicPr>
      <xdr:blipFill>
        <a:blip xmlns:r="http://schemas.openxmlformats.org/officeDocument/2006/relationships" r:embed="rId9" cstate="print"/>
        <a:srcRect/>
        <a:stretch>
          <a:fillRect/>
        </a:stretch>
      </xdr:blipFill>
      <xdr:spPr bwMode="auto">
        <a:xfrm>
          <a:off x="1266825" y="2876550"/>
          <a:ext cx="542925" cy="171450"/>
        </a:xfrm>
        <a:prstGeom prst="rect">
          <a:avLst/>
        </a:prstGeom>
        <a:noFill/>
        <a:ln w="9525">
          <a:noFill/>
          <a:miter lim="800000"/>
          <a:headEnd/>
          <a:tailEnd/>
        </a:ln>
      </xdr:spPr>
    </xdr:pic>
    <xdr:clientData/>
  </xdr:twoCellAnchor>
  <xdr:twoCellAnchor>
    <xdr:from>
      <xdr:col>3</xdr:col>
      <xdr:colOff>57150</xdr:colOff>
      <xdr:row>17</xdr:row>
      <xdr:rowOff>19050</xdr:rowOff>
    </xdr:from>
    <xdr:to>
      <xdr:col>3</xdr:col>
      <xdr:colOff>600075</xdr:colOff>
      <xdr:row>17</xdr:row>
      <xdr:rowOff>561975</xdr:rowOff>
    </xdr:to>
    <xdr:pic>
      <xdr:nvPicPr>
        <xdr:cNvPr id="91" name="Picture 1"/>
        <xdr:cNvPicPr>
          <a:picLocks noChangeAspect="1" noChangeArrowheads="1"/>
        </xdr:cNvPicPr>
      </xdr:nvPicPr>
      <xdr:blipFill>
        <a:blip xmlns:r="http://schemas.openxmlformats.org/officeDocument/2006/relationships" r:embed="rId6" cstate="print"/>
        <a:srcRect/>
        <a:stretch>
          <a:fillRect/>
        </a:stretch>
      </xdr:blipFill>
      <xdr:spPr bwMode="auto">
        <a:xfrm>
          <a:off x="1885950" y="3257550"/>
          <a:ext cx="542925" cy="171450"/>
        </a:xfrm>
        <a:prstGeom prst="rect">
          <a:avLst/>
        </a:prstGeom>
        <a:noFill/>
        <a:ln w="9525">
          <a:noFill/>
          <a:miter lim="800000"/>
          <a:headEnd/>
          <a:tailEnd/>
        </a:ln>
      </xdr:spPr>
    </xdr:pic>
    <xdr:clientData/>
  </xdr:twoCellAnchor>
  <xdr:twoCellAnchor>
    <xdr:from>
      <xdr:col>0</xdr:col>
      <xdr:colOff>134471</xdr:colOff>
      <xdr:row>16</xdr:row>
      <xdr:rowOff>33618</xdr:rowOff>
    </xdr:from>
    <xdr:to>
      <xdr:col>1</xdr:col>
      <xdr:colOff>572621</xdr:colOff>
      <xdr:row>17</xdr:row>
      <xdr:rowOff>547968</xdr:rowOff>
    </xdr:to>
    <xdr:pic>
      <xdr:nvPicPr>
        <xdr:cNvPr id="92" name="Picture 14"/>
        <xdr:cNvPicPr>
          <a:picLocks noChangeAspect="1" noChangeArrowheads="1"/>
        </xdr:cNvPicPr>
      </xdr:nvPicPr>
      <xdr:blipFill>
        <a:blip xmlns:r="http://schemas.openxmlformats.org/officeDocument/2006/relationships" r:embed="rId13" cstate="print"/>
        <a:srcRect/>
        <a:stretch>
          <a:fillRect/>
        </a:stretch>
      </xdr:blipFill>
      <xdr:spPr bwMode="auto">
        <a:xfrm>
          <a:off x="134471" y="3081618"/>
          <a:ext cx="1047750" cy="342900"/>
        </a:xfrm>
        <a:prstGeom prst="rect">
          <a:avLst/>
        </a:prstGeom>
        <a:noFill/>
        <a:ln w="9525">
          <a:noFill/>
          <a:miter lim="800000"/>
          <a:headEnd/>
          <a:tailEnd/>
        </a:ln>
      </xdr:spPr>
    </xdr:pic>
    <xdr:clientData/>
  </xdr:twoCellAnchor>
  <xdr:twoCellAnchor>
    <xdr:from>
      <xdr:col>0</xdr:col>
      <xdr:colOff>112060</xdr:colOff>
      <xdr:row>14</xdr:row>
      <xdr:rowOff>22412</xdr:rowOff>
    </xdr:from>
    <xdr:to>
      <xdr:col>1</xdr:col>
      <xdr:colOff>550210</xdr:colOff>
      <xdr:row>15</xdr:row>
      <xdr:rowOff>536762</xdr:rowOff>
    </xdr:to>
    <xdr:pic>
      <xdr:nvPicPr>
        <xdr:cNvPr id="93" name="Picture 14"/>
        <xdr:cNvPicPr>
          <a:picLocks noChangeAspect="1" noChangeArrowheads="1"/>
        </xdr:cNvPicPr>
      </xdr:nvPicPr>
      <xdr:blipFill>
        <a:blip xmlns:r="http://schemas.openxmlformats.org/officeDocument/2006/relationships" r:embed="rId13" cstate="print"/>
        <a:srcRect/>
        <a:stretch>
          <a:fillRect/>
        </a:stretch>
      </xdr:blipFill>
      <xdr:spPr bwMode="auto">
        <a:xfrm>
          <a:off x="112060" y="2689412"/>
          <a:ext cx="1047750" cy="361950"/>
        </a:xfrm>
        <a:prstGeom prst="rect">
          <a:avLst/>
        </a:prstGeom>
        <a:noFill/>
        <a:ln w="9525">
          <a:noFill/>
          <a:miter lim="800000"/>
          <a:headEnd/>
          <a:tailEnd/>
        </a:ln>
      </xdr:spPr>
    </xdr:pic>
    <xdr:clientData/>
  </xdr:twoCellAnchor>
  <xdr:twoCellAnchor>
    <xdr:from>
      <xdr:col>2</xdr:col>
      <xdr:colOff>47625</xdr:colOff>
      <xdr:row>54</xdr:row>
      <xdr:rowOff>66675</xdr:rowOff>
    </xdr:from>
    <xdr:to>
      <xdr:col>2</xdr:col>
      <xdr:colOff>590550</xdr:colOff>
      <xdr:row>54</xdr:row>
      <xdr:rowOff>609600</xdr:rowOff>
    </xdr:to>
    <xdr:pic>
      <xdr:nvPicPr>
        <xdr:cNvPr id="94" name="Picture 2"/>
        <xdr:cNvPicPr>
          <a:picLocks noChangeAspect="1" noChangeArrowheads="1"/>
        </xdr:cNvPicPr>
      </xdr:nvPicPr>
      <xdr:blipFill>
        <a:blip xmlns:r="http://schemas.openxmlformats.org/officeDocument/2006/relationships" r:embed="rId9" cstate="print"/>
        <a:srcRect/>
        <a:stretch>
          <a:fillRect/>
        </a:stretch>
      </xdr:blipFill>
      <xdr:spPr bwMode="auto">
        <a:xfrm>
          <a:off x="1266825" y="10353675"/>
          <a:ext cx="542925" cy="123825"/>
        </a:xfrm>
        <a:prstGeom prst="rect">
          <a:avLst/>
        </a:prstGeom>
        <a:noFill/>
        <a:ln w="9525">
          <a:noFill/>
          <a:miter lim="800000"/>
          <a:headEnd/>
          <a:tailEnd/>
        </a:ln>
      </xdr:spPr>
    </xdr:pic>
    <xdr:clientData/>
  </xdr:twoCellAnchor>
  <xdr:twoCellAnchor>
    <xdr:from>
      <xdr:col>3</xdr:col>
      <xdr:colOff>57150</xdr:colOff>
      <xdr:row>57</xdr:row>
      <xdr:rowOff>47625</xdr:rowOff>
    </xdr:from>
    <xdr:to>
      <xdr:col>3</xdr:col>
      <xdr:colOff>600075</xdr:colOff>
      <xdr:row>57</xdr:row>
      <xdr:rowOff>581025</xdr:rowOff>
    </xdr:to>
    <xdr:pic>
      <xdr:nvPicPr>
        <xdr:cNvPr id="95" name="Picture 1"/>
        <xdr:cNvPicPr>
          <a:picLocks noChangeAspect="1" noChangeArrowheads="1"/>
        </xdr:cNvPicPr>
      </xdr:nvPicPr>
      <xdr:blipFill>
        <a:blip xmlns:r="http://schemas.openxmlformats.org/officeDocument/2006/relationships" r:embed="rId6" cstate="print"/>
        <a:srcRect/>
        <a:stretch>
          <a:fillRect/>
        </a:stretch>
      </xdr:blipFill>
      <xdr:spPr bwMode="auto">
        <a:xfrm>
          <a:off x="1885950" y="10906125"/>
          <a:ext cx="542925" cy="142875"/>
        </a:xfrm>
        <a:prstGeom prst="rect">
          <a:avLst/>
        </a:prstGeom>
        <a:noFill/>
        <a:ln w="9525">
          <a:noFill/>
          <a:miter lim="800000"/>
          <a:headEnd/>
          <a:tailEnd/>
        </a:ln>
      </xdr:spPr>
    </xdr:pic>
    <xdr:clientData/>
  </xdr:twoCellAnchor>
  <xdr:twoCellAnchor>
    <xdr:from>
      <xdr:col>2</xdr:col>
      <xdr:colOff>57150</xdr:colOff>
      <xdr:row>60</xdr:row>
      <xdr:rowOff>38100</xdr:rowOff>
    </xdr:from>
    <xdr:to>
      <xdr:col>2</xdr:col>
      <xdr:colOff>600075</xdr:colOff>
      <xdr:row>60</xdr:row>
      <xdr:rowOff>571500</xdr:rowOff>
    </xdr:to>
    <xdr:pic>
      <xdr:nvPicPr>
        <xdr:cNvPr id="96" name="Picture 2"/>
        <xdr:cNvPicPr>
          <a:picLocks noChangeAspect="1" noChangeArrowheads="1"/>
        </xdr:cNvPicPr>
      </xdr:nvPicPr>
      <xdr:blipFill>
        <a:blip xmlns:r="http://schemas.openxmlformats.org/officeDocument/2006/relationships" r:embed="rId7" cstate="print"/>
        <a:srcRect/>
        <a:stretch>
          <a:fillRect/>
        </a:stretch>
      </xdr:blipFill>
      <xdr:spPr bwMode="auto">
        <a:xfrm>
          <a:off x="1276350" y="11468100"/>
          <a:ext cx="542925" cy="152400"/>
        </a:xfrm>
        <a:prstGeom prst="rect">
          <a:avLst/>
        </a:prstGeom>
        <a:noFill/>
        <a:ln w="9525">
          <a:noFill/>
          <a:miter lim="800000"/>
          <a:headEnd/>
          <a:tailEnd/>
        </a:ln>
      </xdr:spPr>
    </xdr:pic>
    <xdr:clientData/>
  </xdr:twoCellAnchor>
  <xdr:twoCellAnchor>
    <xdr:from>
      <xdr:col>3</xdr:col>
      <xdr:colOff>57150</xdr:colOff>
      <xdr:row>63</xdr:row>
      <xdr:rowOff>38100</xdr:rowOff>
    </xdr:from>
    <xdr:to>
      <xdr:col>3</xdr:col>
      <xdr:colOff>600075</xdr:colOff>
      <xdr:row>63</xdr:row>
      <xdr:rowOff>571500</xdr:rowOff>
    </xdr:to>
    <xdr:pic>
      <xdr:nvPicPr>
        <xdr:cNvPr id="97" name="Picture 3"/>
        <xdr:cNvPicPr>
          <a:picLocks noChangeAspect="1" noChangeArrowheads="1"/>
        </xdr:cNvPicPr>
      </xdr:nvPicPr>
      <xdr:blipFill>
        <a:blip xmlns:r="http://schemas.openxmlformats.org/officeDocument/2006/relationships" r:embed="rId8" cstate="print"/>
        <a:srcRect/>
        <a:stretch>
          <a:fillRect/>
        </a:stretch>
      </xdr:blipFill>
      <xdr:spPr bwMode="auto">
        <a:xfrm>
          <a:off x="1885950" y="12039600"/>
          <a:ext cx="542925" cy="152400"/>
        </a:xfrm>
        <a:prstGeom prst="rect">
          <a:avLst/>
        </a:prstGeom>
        <a:noFill/>
        <a:ln w="9525">
          <a:noFill/>
          <a:miter lim="800000"/>
          <a:headEnd/>
          <a:tailEnd/>
        </a:ln>
      </xdr:spPr>
    </xdr:pic>
    <xdr:clientData/>
  </xdr:twoCellAnchor>
  <xdr:twoCellAnchor>
    <xdr:from>
      <xdr:col>3</xdr:col>
      <xdr:colOff>56030</xdr:colOff>
      <xdr:row>58</xdr:row>
      <xdr:rowOff>44823</xdr:rowOff>
    </xdr:from>
    <xdr:to>
      <xdr:col>3</xdr:col>
      <xdr:colOff>598955</xdr:colOff>
      <xdr:row>58</xdr:row>
      <xdr:rowOff>578223</xdr:rowOff>
    </xdr:to>
    <xdr:pic>
      <xdr:nvPicPr>
        <xdr:cNvPr id="98" name="Picture 1"/>
        <xdr:cNvPicPr>
          <a:picLocks noChangeAspect="1" noChangeArrowheads="1"/>
        </xdr:cNvPicPr>
      </xdr:nvPicPr>
      <xdr:blipFill>
        <a:blip xmlns:r="http://schemas.openxmlformats.org/officeDocument/2006/relationships" r:embed="rId6" cstate="print"/>
        <a:srcRect/>
        <a:stretch>
          <a:fillRect/>
        </a:stretch>
      </xdr:blipFill>
      <xdr:spPr bwMode="auto">
        <a:xfrm>
          <a:off x="1884830" y="11093823"/>
          <a:ext cx="542925" cy="142875"/>
        </a:xfrm>
        <a:prstGeom prst="rect">
          <a:avLst/>
        </a:prstGeom>
        <a:noFill/>
        <a:ln w="9525">
          <a:noFill/>
          <a:miter lim="800000"/>
          <a:headEnd/>
          <a:tailEnd/>
        </a:ln>
      </xdr:spPr>
    </xdr:pic>
    <xdr:clientData/>
  </xdr:twoCellAnchor>
  <xdr:twoCellAnchor>
    <xdr:from>
      <xdr:col>3</xdr:col>
      <xdr:colOff>56030</xdr:colOff>
      <xdr:row>59</xdr:row>
      <xdr:rowOff>33618</xdr:rowOff>
    </xdr:from>
    <xdr:to>
      <xdr:col>3</xdr:col>
      <xdr:colOff>598955</xdr:colOff>
      <xdr:row>59</xdr:row>
      <xdr:rowOff>567018</xdr:rowOff>
    </xdr:to>
    <xdr:pic>
      <xdr:nvPicPr>
        <xdr:cNvPr id="99" name="Picture 1"/>
        <xdr:cNvPicPr>
          <a:picLocks noChangeAspect="1" noChangeArrowheads="1"/>
        </xdr:cNvPicPr>
      </xdr:nvPicPr>
      <xdr:blipFill>
        <a:blip xmlns:r="http://schemas.openxmlformats.org/officeDocument/2006/relationships" r:embed="rId6" cstate="print"/>
        <a:srcRect/>
        <a:stretch>
          <a:fillRect/>
        </a:stretch>
      </xdr:blipFill>
      <xdr:spPr bwMode="auto">
        <a:xfrm>
          <a:off x="1884830" y="11273118"/>
          <a:ext cx="542925" cy="152400"/>
        </a:xfrm>
        <a:prstGeom prst="rect">
          <a:avLst/>
        </a:prstGeom>
        <a:noFill/>
        <a:ln w="9525">
          <a:noFill/>
          <a:miter lim="800000"/>
          <a:headEnd/>
          <a:tailEnd/>
        </a:ln>
      </xdr:spPr>
    </xdr:pic>
    <xdr:clientData/>
  </xdr:twoCellAnchor>
  <xdr:twoCellAnchor>
    <xdr:from>
      <xdr:col>0</xdr:col>
      <xdr:colOff>78441</xdr:colOff>
      <xdr:row>54</xdr:row>
      <xdr:rowOff>100853</xdr:rowOff>
    </xdr:from>
    <xdr:to>
      <xdr:col>1</xdr:col>
      <xdr:colOff>516591</xdr:colOff>
      <xdr:row>55</xdr:row>
      <xdr:rowOff>558053</xdr:rowOff>
    </xdr:to>
    <xdr:pic>
      <xdr:nvPicPr>
        <xdr:cNvPr id="100" name="Picture 22"/>
        <xdr:cNvPicPr>
          <a:picLocks noChangeAspect="1" noChangeArrowheads="1"/>
        </xdr:cNvPicPr>
      </xdr:nvPicPr>
      <xdr:blipFill>
        <a:blip xmlns:r="http://schemas.openxmlformats.org/officeDocument/2006/relationships" r:embed="rId10" cstate="print"/>
        <a:srcRect/>
        <a:stretch>
          <a:fillRect/>
        </a:stretch>
      </xdr:blipFill>
      <xdr:spPr bwMode="auto">
        <a:xfrm>
          <a:off x="78441" y="10387853"/>
          <a:ext cx="1047750" cy="276225"/>
        </a:xfrm>
        <a:prstGeom prst="rect">
          <a:avLst/>
        </a:prstGeom>
        <a:noFill/>
        <a:ln w="9525">
          <a:noFill/>
          <a:miter lim="800000"/>
          <a:headEnd/>
          <a:tailEnd/>
        </a:ln>
      </xdr:spPr>
    </xdr:pic>
    <xdr:clientData/>
  </xdr:twoCellAnchor>
  <xdr:twoCellAnchor>
    <xdr:from>
      <xdr:col>0</xdr:col>
      <xdr:colOff>96370</xdr:colOff>
      <xdr:row>56</xdr:row>
      <xdr:rowOff>73959</xdr:rowOff>
    </xdr:from>
    <xdr:to>
      <xdr:col>1</xdr:col>
      <xdr:colOff>534520</xdr:colOff>
      <xdr:row>57</xdr:row>
      <xdr:rowOff>531159</xdr:rowOff>
    </xdr:to>
    <xdr:pic>
      <xdr:nvPicPr>
        <xdr:cNvPr id="101" name="Picture 22"/>
        <xdr:cNvPicPr>
          <a:picLocks noChangeAspect="1" noChangeArrowheads="1"/>
        </xdr:cNvPicPr>
      </xdr:nvPicPr>
      <xdr:blipFill>
        <a:blip xmlns:r="http://schemas.openxmlformats.org/officeDocument/2006/relationships" r:embed="rId10" cstate="print"/>
        <a:srcRect/>
        <a:stretch>
          <a:fillRect/>
        </a:stretch>
      </xdr:blipFill>
      <xdr:spPr bwMode="auto">
        <a:xfrm>
          <a:off x="96370" y="10741959"/>
          <a:ext cx="1047750" cy="304800"/>
        </a:xfrm>
        <a:prstGeom prst="rect">
          <a:avLst/>
        </a:prstGeom>
        <a:noFill/>
        <a:ln w="9525">
          <a:noFill/>
          <a:miter lim="800000"/>
          <a:headEnd/>
          <a:tailEnd/>
        </a:ln>
      </xdr:spPr>
    </xdr:pic>
    <xdr:clientData/>
  </xdr:twoCellAnchor>
  <xdr:twoCellAnchor>
    <xdr:from>
      <xdr:col>0</xdr:col>
      <xdr:colOff>123264</xdr:colOff>
      <xdr:row>58</xdr:row>
      <xdr:rowOff>44823</xdr:rowOff>
    </xdr:from>
    <xdr:to>
      <xdr:col>1</xdr:col>
      <xdr:colOff>561414</xdr:colOff>
      <xdr:row>59</xdr:row>
      <xdr:rowOff>502023</xdr:rowOff>
    </xdr:to>
    <xdr:pic>
      <xdr:nvPicPr>
        <xdr:cNvPr id="102" name="Picture 22"/>
        <xdr:cNvPicPr>
          <a:picLocks noChangeAspect="1" noChangeArrowheads="1"/>
        </xdr:cNvPicPr>
      </xdr:nvPicPr>
      <xdr:blipFill>
        <a:blip xmlns:r="http://schemas.openxmlformats.org/officeDocument/2006/relationships" r:embed="rId10" cstate="print"/>
        <a:srcRect/>
        <a:stretch>
          <a:fillRect/>
        </a:stretch>
      </xdr:blipFill>
      <xdr:spPr bwMode="auto">
        <a:xfrm>
          <a:off x="123264" y="11093823"/>
          <a:ext cx="1047750" cy="333375"/>
        </a:xfrm>
        <a:prstGeom prst="rect">
          <a:avLst/>
        </a:prstGeom>
        <a:noFill/>
        <a:ln w="9525">
          <a:noFill/>
          <a:miter lim="800000"/>
          <a:headEnd/>
          <a:tailEnd/>
        </a:ln>
      </xdr:spPr>
    </xdr:pic>
    <xdr:clientData/>
  </xdr:twoCellAnchor>
  <xdr:twoCellAnchor>
    <xdr:from>
      <xdr:col>2</xdr:col>
      <xdr:colOff>44824</xdr:colOff>
      <xdr:row>55</xdr:row>
      <xdr:rowOff>33618</xdr:rowOff>
    </xdr:from>
    <xdr:to>
      <xdr:col>2</xdr:col>
      <xdr:colOff>587749</xdr:colOff>
      <xdr:row>55</xdr:row>
      <xdr:rowOff>576543</xdr:rowOff>
    </xdr:to>
    <xdr:pic>
      <xdr:nvPicPr>
        <xdr:cNvPr id="103" name="Picture 2"/>
        <xdr:cNvPicPr>
          <a:picLocks noChangeAspect="1" noChangeArrowheads="1"/>
        </xdr:cNvPicPr>
      </xdr:nvPicPr>
      <xdr:blipFill>
        <a:blip xmlns:r="http://schemas.openxmlformats.org/officeDocument/2006/relationships" r:embed="rId9" cstate="print"/>
        <a:srcRect/>
        <a:stretch>
          <a:fillRect/>
        </a:stretch>
      </xdr:blipFill>
      <xdr:spPr bwMode="auto">
        <a:xfrm>
          <a:off x="1264024" y="10511118"/>
          <a:ext cx="542925" cy="152400"/>
        </a:xfrm>
        <a:prstGeom prst="rect">
          <a:avLst/>
        </a:prstGeom>
        <a:noFill/>
        <a:ln w="9525">
          <a:noFill/>
          <a:miter lim="800000"/>
          <a:headEnd/>
          <a:tailEnd/>
        </a:ln>
      </xdr:spPr>
    </xdr:pic>
    <xdr:clientData/>
  </xdr:twoCellAnchor>
  <xdr:twoCellAnchor>
    <xdr:from>
      <xdr:col>2</xdr:col>
      <xdr:colOff>33618</xdr:colOff>
      <xdr:row>56</xdr:row>
      <xdr:rowOff>33618</xdr:rowOff>
    </xdr:from>
    <xdr:to>
      <xdr:col>2</xdr:col>
      <xdr:colOff>576543</xdr:colOff>
      <xdr:row>56</xdr:row>
      <xdr:rowOff>576543</xdr:rowOff>
    </xdr:to>
    <xdr:pic>
      <xdr:nvPicPr>
        <xdr:cNvPr id="104" name="Picture 2"/>
        <xdr:cNvPicPr>
          <a:picLocks noChangeAspect="1" noChangeArrowheads="1"/>
        </xdr:cNvPicPr>
      </xdr:nvPicPr>
      <xdr:blipFill>
        <a:blip xmlns:r="http://schemas.openxmlformats.org/officeDocument/2006/relationships" r:embed="rId9" cstate="print"/>
        <a:srcRect/>
        <a:stretch>
          <a:fillRect/>
        </a:stretch>
      </xdr:blipFill>
      <xdr:spPr bwMode="auto">
        <a:xfrm>
          <a:off x="1252818" y="10701618"/>
          <a:ext cx="542925" cy="152400"/>
        </a:xfrm>
        <a:prstGeom prst="rect">
          <a:avLst/>
        </a:prstGeom>
        <a:noFill/>
        <a:ln w="9525">
          <a:noFill/>
          <a:miter lim="800000"/>
          <a:headEnd/>
          <a:tailEnd/>
        </a:ln>
      </xdr:spPr>
    </xdr:pic>
    <xdr:clientData/>
  </xdr:twoCellAnchor>
  <xdr:twoCellAnchor>
    <xdr:from>
      <xdr:col>2</xdr:col>
      <xdr:colOff>57150</xdr:colOff>
      <xdr:row>61</xdr:row>
      <xdr:rowOff>38100</xdr:rowOff>
    </xdr:from>
    <xdr:to>
      <xdr:col>2</xdr:col>
      <xdr:colOff>600075</xdr:colOff>
      <xdr:row>61</xdr:row>
      <xdr:rowOff>571500</xdr:rowOff>
    </xdr:to>
    <xdr:pic>
      <xdr:nvPicPr>
        <xdr:cNvPr id="105" name="Picture 2"/>
        <xdr:cNvPicPr>
          <a:picLocks noChangeAspect="1" noChangeArrowheads="1"/>
        </xdr:cNvPicPr>
      </xdr:nvPicPr>
      <xdr:blipFill>
        <a:blip xmlns:r="http://schemas.openxmlformats.org/officeDocument/2006/relationships" r:embed="rId7" cstate="print"/>
        <a:srcRect/>
        <a:stretch>
          <a:fillRect/>
        </a:stretch>
      </xdr:blipFill>
      <xdr:spPr bwMode="auto">
        <a:xfrm>
          <a:off x="1276350" y="11658600"/>
          <a:ext cx="542925" cy="152400"/>
        </a:xfrm>
        <a:prstGeom prst="rect">
          <a:avLst/>
        </a:prstGeom>
        <a:noFill/>
        <a:ln w="9525">
          <a:noFill/>
          <a:miter lim="800000"/>
          <a:headEnd/>
          <a:tailEnd/>
        </a:ln>
      </xdr:spPr>
    </xdr:pic>
    <xdr:clientData/>
  </xdr:twoCellAnchor>
  <xdr:twoCellAnchor>
    <xdr:from>
      <xdr:col>2</xdr:col>
      <xdr:colOff>57150</xdr:colOff>
      <xdr:row>62</xdr:row>
      <xdr:rowOff>38100</xdr:rowOff>
    </xdr:from>
    <xdr:to>
      <xdr:col>2</xdr:col>
      <xdr:colOff>600075</xdr:colOff>
      <xdr:row>62</xdr:row>
      <xdr:rowOff>571500</xdr:rowOff>
    </xdr:to>
    <xdr:pic>
      <xdr:nvPicPr>
        <xdr:cNvPr id="106" name="Picture 2"/>
        <xdr:cNvPicPr>
          <a:picLocks noChangeAspect="1" noChangeArrowheads="1"/>
        </xdr:cNvPicPr>
      </xdr:nvPicPr>
      <xdr:blipFill>
        <a:blip xmlns:r="http://schemas.openxmlformats.org/officeDocument/2006/relationships" r:embed="rId7" cstate="print"/>
        <a:srcRect/>
        <a:stretch>
          <a:fillRect/>
        </a:stretch>
      </xdr:blipFill>
      <xdr:spPr bwMode="auto">
        <a:xfrm>
          <a:off x="1276350" y="11849100"/>
          <a:ext cx="542925" cy="152400"/>
        </a:xfrm>
        <a:prstGeom prst="rect">
          <a:avLst/>
        </a:prstGeom>
        <a:noFill/>
        <a:ln w="9525">
          <a:noFill/>
          <a:miter lim="800000"/>
          <a:headEnd/>
          <a:tailEnd/>
        </a:ln>
      </xdr:spPr>
    </xdr:pic>
    <xdr:clientData/>
  </xdr:twoCellAnchor>
  <xdr:twoCellAnchor>
    <xdr:from>
      <xdr:col>0</xdr:col>
      <xdr:colOff>123265</xdr:colOff>
      <xdr:row>60</xdr:row>
      <xdr:rowOff>67235</xdr:rowOff>
    </xdr:from>
    <xdr:to>
      <xdr:col>1</xdr:col>
      <xdr:colOff>561415</xdr:colOff>
      <xdr:row>61</xdr:row>
      <xdr:rowOff>524435</xdr:rowOff>
    </xdr:to>
    <xdr:pic>
      <xdr:nvPicPr>
        <xdr:cNvPr id="107" name="Picture 22"/>
        <xdr:cNvPicPr>
          <a:picLocks noChangeAspect="1" noChangeArrowheads="1"/>
        </xdr:cNvPicPr>
      </xdr:nvPicPr>
      <xdr:blipFill>
        <a:blip xmlns:r="http://schemas.openxmlformats.org/officeDocument/2006/relationships" r:embed="rId10" cstate="print"/>
        <a:srcRect/>
        <a:stretch>
          <a:fillRect/>
        </a:stretch>
      </xdr:blipFill>
      <xdr:spPr bwMode="auto">
        <a:xfrm>
          <a:off x="123265" y="11497235"/>
          <a:ext cx="1047750" cy="314325"/>
        </a:xfrm>
        <a:prstGeom prst="rect">
          <a:avLst/>
        </a:prstGeom>
        <a:noFill/>
        <a:ln w="9525">
          <a:noFill/>
          <a:miter lim="800000"/>
          <a:headEnd/>
          <a:tailEnd/>
        </a:ln>
      </xdr:spPr>
    </xdr:pic>
    <xdr:clientData/>
  </xdr:twoCellAnchor>
  <xdr:twoCellAnchor>
    <xdr:from>
      <xdr:col>3</xdr:col>
      <xdr:colOff>57150</xdr:colOff>
      <xdr:row>64</xdr:row>
      <xdr:rowOff>38100</xdr:rowOff>
    </xdr:from>
    <xdr:to>
      <xdr:col>3</xdr:col>
      <xdr:colOff>600075</xdr:colOff>
      <xdr:row>64</xdr:row>
      <xdr:rowOff>571500</xdr:rowOff>
    </xdr:to>
    <xdr:pic>
      <xdr:nvPicPr>
        <xdr:cNvPr id="108" name="Picture 3"/>
        <xdr:cNvPicPr>
          <a:picLocks noChangeAspect="1" noChangeArrowheads="1"/>
        </xdr:cNvPicPr>
      </xdr:nvPicPr>
      <xdr:blipFill>
        <a:blip xmlns:r="http://schemas.openxmlformats.org/officeDocument/2006/relationships" r:embed="rId8" cstate="print"/>
        <a:srcRect/>
        <a:stretch>
          <a:fillRect/>
        </a:stretch>
      </xdr:blipFill>
      <xdr:spPr bwMode="auto">
        <a:xfrm>
          <a:off x="1885950" y="12230100"/>
          <a:ext cx="542925" cy="152400"/>
        </a:xfrm>
        <a:prstGeom prst="rect">
          <a:avLst/>
        </a:prstGeom>
        <a:noFill/>
        <a:ln w="9525">
          <a:noFill/>
          <a:miter lim="800000"/>
          <a:headEnd/>
          <a:tailEnd/>
        </a:ln>
      </xdr:spPr>
    </xdr:pic>
    <xdr:clientData/>
  </xdr:twoCellAnchor>
  <xdr:twoCellAnchor>
    <xdr:from>
      <xdr:col>3</xdr:col>
      <xdr:colOff>57150</xdr:colOff>
      <xdr:row>65</xdr:row>
      <xdr:rowOff>38100</xdr:rowOff>
    </xdr:from>
    <xdr:to>
      <xdr:col>3</xdr:col>
      <xdr:colOff>600075</xdr:colOff>
      <xdr:row>65</xdr:row>
      <xdr:rowOff>571500</xdr:rowOff>
    </xdr:to>
    <xdr:pic>
      <xdr:nvPicPr>
        <xdr:cNvPr id="109" name="Picture 3"/>
        <xdr:cNvPicPr>
          <a:picLocks noChangeAspect="1" noChangeArrowheads="1"/>
        </xdr:cNvPicPr>
      </xdr:nvPicPr>
      <xdr:blipFill>
        <a:blip xmlns:r="http://schemas.openxmlformats.org/officeDocument/2006/relationships" r:embed="rId8" cstate="print"/>
        <a:srcRect/>
        <a:stretch>
          <a:fillRect/>
        </a:stretch>
      </xdr:blipFill>
      <xdr:spPr bwMode="auto">
        <a:xfrm>
          <a:off x="1885950" y="12420600"/>
          <a:ext cx="542925" cy="152400"/>
        </a:xfrm>
        <a:prstGeom prst="rect">
          <a:avLst/>
        </a:prstGeom>
        <a:noFill/>
        <a:ln w="9525">
          <a:noFill/>
          <a:miter lim="800000"/>
          <a:headEnd/>
          <a:tailEnd/>
        </a:ln>
      </xdr:spPr>
    </xdr:pic>
    <xdr:clientData/>
  </xdr:twoCellAnchor>
  <xdr:twoCellAnchor>
    <xdr:from>
      <xdr:col>0</xdr:col>
      <xdr:colOff>145677</xdr:colOff>
      <xdr:row>62</xdr:row>
      <xdr:rowOff>56030</xdr:rowOff>
    </xdr:from>
    <xdr:to>
      <xdr:col>1</xdr:col>
      <xdr:colOff>583827</xdr:colOff>
      <xdr:row>63</xdr:row>
      <xdr:rowOff>513230</xdr:rowOff>
    </xdr:to>
    <xdr:pic>
      <xdr:nvPicPr>
        <xdr:cNvPr id="110" name="Picture 22"/>
        <xdr:cNvPicPr>
          <a:picLocks noChangeAspect="1" noChangeArrowheads="1"/>
        </xdr:cNvPicPr>
      </xdr:nvPicPr>
      <xdr:blipFill>
        <a:blip xmlns:r="http://schemas.openxmlformats.org/officeDocument/2006/relationships" r:embed="rId10" cstate="print"/>
        <a:srcRect/>
        <a:stretch>
          <a:fillRect/>
        </a:stretch>
      </xdr:blipFill>
      <xdr:spPr bwMode="auto">
        <a:xfrm>
          <a:off x="145677" y="11867030"/>
          <a:ext cx="1047750" cy="323850"/>
        </a:xfrm>
        <a:prstGeom prst="rect">
          <a:avLst/>
        </a:prstGeom>
        <a:noFill/>
        <a:ln w="9525">
          <a:noFill/>
          <a:miter lim="800000"/>
          <a:headEnd/>
          <a:tailEnd/>
        </a:ln>
      </xdr:spPr>
    </xdr:pic>
    <xdr:clientData/>
  </xdr:twoCellAnchor>
  <xdr:twoCellAnchor>
    <xdr:from>
      <xdr:col>0</xdr:col>
      <xdr:colOff>134471</xdr:colOff>
      <xdr:row>64</xdr:row>
      <xdr:rowOff>67235</xdr:rowOff>
    </xdr:from>
    <xdr:to>
      <xdr:col>1</xdr:col>
      <xdr:colOff>572621</xdr:colOff>
      <xdr:row>65</xdr:row>
      <xdr:rowOff>524435</xdr:rowOff>
    </xdr:to>
    <xdr:pic>
      <xdr:nvPicPr>
        <xdr:cNvPr id="111" name="Picture 22"/>
        <xdr:cNvPicPr>
          <a:picLocks noChangeAspect="1" noChangeArrowheads="1"/>
        </xdr:cNvPicPr>
      </xdr:nvPicPr>
      <xdr:blipFill>
        <a:blip xmlns:r="http://schemas.openxmlformats.org/officeDocument/2006/relationships" r:embed="rId10" cstate="print"/>
        <a:srcRect/>
        <a:stretch>
          <a:fillRect/>
        </a:stretch>
      </xdr:blipFill>
      <xdr:spPr bwMode="auto">
        <a:xfrm>
          <a:off x="134471" y="12259235"/>
          <a:ext cx="1047750" cy="3143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11</xdr:col>
      <xdr:colOff>0</xdr:colOff>
      <xdr:row>45</xdr:row>
      <xdr:rowOff>0</xdr:rowOff>
    </xdr:from>
    <xdr:to>
      <xdr:col>16</xdr:col>
      <xdr:colOff>0</xdr:colOff>
      <xdr:row>45</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533400</xdr:colOff>
      <xdr:row>45</xdr:row>
      <xdr:rowOff>0</xdr:rowOff>
    </xdr:from>
    <xdr:to>
      <xdr:col>12</xdr:col>
      <xdr:colOff>647700</xdr:colOff>
      <xdr:row>45</xdr:row>
      <xdr:rowOff>0</xdr:rowOff>
    </xdr:to>
    <xdr:graphicFrame macro="">
      <xdr:nvGraphicFramePr>
        <xdr:cNvPr id="4"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45</xdr:row>
      <xdr:rowOff>0</xdr:rowOff>
    </xdr:from>
    <xdr:to>
      <xdr:col>3</xdr:col>
      <xdr:colOff>466725</xdr:colOff>
      <xdr:row>45</xdr:row>
      <xdr:rowOff>0</xdr:rowOff>
    </xdr:to>
    <xdr:grpSp>
      <xdr:nvGrpSpPr>
        <xdr:cNvPr id="5" name="Group 13"/>
        <xdr:cNvGrpSpPr>
          <a:grpSpLocks/>
        </xdr:cNvGrpSpPr>
      </xdr:nvGrpSpPr>
      <xdr:grpSpPr bwMode="auto">
        <a:xfrm>
          <a:off x="818029" y="8886265"/>
          <a:ext cx="3783667" cy="0"/>
          <a:chOff x="100" y="358"/>
          <a:chExt cx="223" cy="217"/>
        </a:xfrm>
      </xdr:grpSpPr>
      <xdr:graphicFrame macro="">
        <xdr:nvGraphicFramePr>
          <xdr:cNvPr id="6" name="Chart 4"/>
          <xdr:cNvGraphicFramePr>
            <a:graphicFrameLocks/>
          </xdr:cNvGraphicFramePr>
        </xdr:nvGraphicFramePr>
        <xdr:xfrm>
          <a:off x="100" y="358"/>
          <a:ext cx="223" cy="217"/>
        </xdr:xfrm>
        <a:graphic>
          <a:graphicData uri="http://schemas.openxmlformats.org/drawingml/2006/chart">
            <c:chart xmlns:c="http://schemas.openxmlformats.org/drawingml/2006/chart" xmlns:r="http://schemas.openxmlformats.org/officeDocument/2006/relationships" r:id="rId3"/>
          </a:graphicData>
        </a:graphic>
      </xdr:graphicFrame>
      <xdr:sp macro="" textlink="#REF!">
        <xdr:nvSpPr>
          <xdr:cNvPr id="7" name="Text Box 15"/>
          <xdr:cNvSpPr txBox="1">
            <a:spLocks noChangeArrowheads="1" noTextEdit="1"/>
          </xdr:cNvSpPr>
        </xdr:nvSpPr>
        <xdr:spPr bwMode="auto">
          <a:xfrm>
            <a:off x="809625" y="8391525"/>
            <a:ext cx="0" cy="0"/>
          </a:xfrm>
          <a:prstGeom prst="rect">
            <a:avLst/>
          </a:prstGeom>
          <a:noFill/>
          <a:ln w="9525">
            <a:noFill/>
            <a:miter lim="800000"/>
            <a:headEnd/>
            <a:tailEnd/>
          </a:ln>
        </xdr:spPr>
        <xdr:txBody>
          <a:bodyPr/>
          <a:lstStyle/>
          <a:p>
            <a:fld id="{1B9B7C4E-14E4-4AC0-83F8-E3FE98883D3D}" type="TxLink">
              <a:rPr lang="fr-BE"/>
              <a:pPr/>
              <a:t></a:t>
            </a:fld>
            <a:endParaRPr lang="fr-BE"/>
          </a:p>
        </xdr:txBody>
      </xdr:sp>
    </xdr:grpSp>
    <xdr:clientData/>
  </xdr:twoCellAnchor>
  <xdr:twoCellAnchor>
    <xdr:from>
      <xdr:col>1</xdr:col>
      <xdr:colOff>0</xdr:colOff>
      <xdr:row>45</xdr:row>
      <xdr:rowOff>0</xdr:rowOff>
    </xdr:from>
    <xdr:to>
      <xdr:col>3</xdr:col>
      <xdr:colOff>466725</xdr:colOff>
      <xdr:row>45</xdr:row>
      <xdr:rowOff>0</xdr:rowOff>
    </xdr:to>
    <xdr:grpSp>
      <xdr:nvGrpSpPr>
        <xdr:cNvPr id="8" name="Group 13"/>
        <xdr:cNvGrpSpPr>
          <a:grpSpLocks/>
        </xdr:cNvGrpSpPr>
      </xdr:nvGrpSpPr>
      <xdr:grpSpPr bwMode="auto">
        <a:xfrm>
          <a:off x="818029" y="8886265"/>
          <a:ext cx="3783667" cy="0"/>
          <a:chOff x="100" y="358"/>
          <a:chExt cx="223" cy="217"/>
        </a:xfrm>
      </xdr:grpSpPr>
      <xdr:graphicFrame macro="">
        <xdr:nvGraphicFramePr>
          <xdr:cNvPr id="9" name="Chart 4"/>
          <xdr:cNvGraphicFramePr>
            <a:graphicFrameLocks/>
          </xdr:cNvGraphicFramePr>
        </xdr:nvGraphicFramePr>
        <xdr:xfrm>
          <a:off x="100" y="358"/>
          <a:ext cx="223" cy="217"/>
        </xdr:xfrm>
        <a:graphic>
          <a:graphicData uri="http://schemas.openxmlformats.org/drawingml/2006/chart">
            <c:chart xmlns:c="http://schemas.openxmlformats.org/drawingml/2006/chart" xmlns:r="http://schemas.openxmlformats.org/officeDocument/2006/relationships" r:id="rId4"/>
          </a:graphicData>
        </a:graphic>
      </xdr:graphicFrame>
      <xdr:sp macro="" textlink="#REF!">
        <xdr:nvSpPr>
          <xdr:cNvPr id="10" name="Text Box 15"/>
          <xdr:cNvSpPr txBox="1">
            <a:spLocks noChangeArrowheads="1" noTextEdit="1"/>
          </xdr:cNvSpPr>
        </xdr:nvSpPr>
        <xdr:spPr bwMode="auto">
          <a:xfrm>
            <a:off x="809625" y="8391525"/>
            <a:ext cx="0" cy="0"/>
          </a:xfrm>
          <a:prstGeom prst="rect">
            <a:avLst/>
          </a:prstGeom>
          <a:noFill/>
          <a:ln w="9525">
            <a:noFill/>
            <a:miter lim="800000"/>
            <a:headEnd/>
            <a:tailEnd/>
          </a:ln>
        </xdr:spPr>
        <xdr:txBody>
          <a:bodyPr/>
          <a:lstStyle/>
          <a:p>
            <a:fld id="{54CDA86B-8D6C-4F52-8661-B324C3504938}" type="TxLink">
              <a:rPr lang="fr-BE"/>
              <a:pPr/>
              <a:t></a:t>
            </a:fld>
            <a:endParaRPr lang="fr-BE"/>
          </a:p>
        </xdr:txBody>
      </xdr:sp>
    </xdr:grpSp>
    <xdr:clientData/>
  </xdr:twoCellAnchor>
  <xdr:twoCellAnchor>
    <xdr:from>
      <xdr:col>1</xdr:col>
      <xdr:colOff>0</xdr:colOff>
      <xdr:row>45</xdr:row>
      <xdr:rowOff>0</xdr:rowOff>
    </xdr:from>
    <xdr:to>
      <xdr:col>3</xdr:col>
      <xdr:colOff>466725</xdr:colOff>
      <xdr:row>45</xdr:row>
      <xdr:rowOff>0</xdr:rowOff>
    </xdr:to>
    <xdr:grpSp>
      <xdr:nvGrpSpPr>
        <xdr:cNvPr id="11" name="Group 13"/>
        <xdr:cNvGrpSpPr>
          <a:grpSpLocks/>
        </xdr:cNvGrpSpPr>
      </xdr:nvGrpSpPr>
      <xdr:grpSpPr bwMode="auto">
        <a:xfrm>
          <a:off x="818029" y="8886265"/>
          <a:ext cx="3783667" cy="0"/>
          <a:chOff x="100" y="358"/>
          <a:chExt cx="223" cy="217"/>
        </a:xfrm>
      </xdr:grpSpPr>
      <xdr:graphicFrame macro="">
        <xdr:nvGraphicFramePr>
          <xdr:cNvPr id="12" name="Chart 4"/>
          <xdr:cNvGraphicFramePr>
            <a:graphicFrameLocks/>
          </xdr:cNvGraphicFramePr>
        </xdr:nvGraphicFramePr>
        <xdr:xfrm>
          <a:off x="100" y="358"/>
          <a:ext cx="223" cy="217"/>
        </xdr:xfrm>
        <a:graphic>
          <a:graphicData uri="http://schemas.openxmlformats.org/drawingml/2006/chart">
            <c:chart xmlns:c="http://schemas.openxmlformats.org/drawingml/2006/chart" xmlns:r="http://schemas.openxmlformats.org/officeDocument/2006/relationships" r:id="rId5"/>
          </a:graphicData>
        </a:graphic>
      </xdr:graphicFrame>
      <xdr:sp macro="" textlink="#REF!">
        <xdr:nvSpPr>
          <xdr:cNvPr id="13" name="Text Box 15"/>
          <xdr:cNvSpPr txBox="1">
            <a:spLocks noChangeArrowheads="1" noTextEdit="1"/>
          </xdr:cNvSpPr>
        </xdr:nvSpPr>
        <xdr:spPr bwMode="auto">
          <a:xfrm>
            <a:off x="809625" y="8391525"/>
            <a:ext cx="0" cy="0"/>
          </a:xfrm>
          <a:prstGeom prst="rect">
            <a:avLst/>
          </a:prstGeom>
          <a:noFill/>
          <a:ln w="9525">
            <a:noFill/>
            <a:miter lim="800000"/>
            <a:headEnd/>
            <a:tailEnd/>
          </a:ln>
        </xdr:spPr>
        <xdr:txBody>
          <a:bodyPr/>
          <a:lstStyle/>
          <a:p>
            <a:fld id="{EC116502-2C0C-455D-9830-703073A60F0D}" type="TxLink">
              <a:rPr lang="fr-BE"/>
              <a:pPr/>
              <a:t></a:t>
            </a:fld>
            <a:endParaRPr lang="fr-BE"/>
          </a:p>
        </xdr:txBody>
      </xdr:sp>
    </xdr:grpSp>
    <xdr:clientData/>
  </xdr:twoCellAnchor>
  <xdr:twoCellAnchor>
    <xdr:from>
      <xdr:col>6</xdr:col>
      <xdr:colOff>76200</xdr:colOff>
      <xdr:row>47</xdr:row>
      <xdr:rowOff>152400</xdr:rowOff>
    </xdr:from>
    <xdr:to>
      <xdr:col>10</xdr:col>
      <xdr:colOff>1419224</xdr:colOff>
      <xdr:row>66</xdr:row>
      <xdr:rowOff>104775</xdr:rowOff>
    </xdr:to>
    <xdr:graphicFrame macro="">
      <xdr:nvGraphicFramePr>
        <xdr:cNvPr id="1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504825</xdr:colOff>
      <xdr:row>48</xdr:row>
      <xdr:rowOff>0</xdr:rowOff>
    </xdr:from>
    <xdr:to>
      <xdr:col>1</xdr:col>
      <xdr:colOff>1543050</xdr:colOff>
      <xdr:row>62</xdr:row>
      <xdr:rowOff>95250</xdr:rowOff>
    </xdr:to>
    <xdr:graphicFrame macro="">
      <xdr:nvGraphicFramePr>
        <xdr:cNvPr id="15"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79</xdr:row>
      <xdr:rowOff>0</xdr:rowOff>
    </xdr:from>
    <xdr:to>
      <xdr:col>4</xdr:col>
      <xdr:colOff>466725</xdr:colOff>
      <xdr:row>79</xdr:row>
      <xdr:rowOff>0</xdr:rowOff>
    </xdr:to>
    <xdr:grpSp>
      <xdr:nvGrpSpPr>
        <xdr:cNvPr id="16" name="Group 13"/>
        <xdr:cNvGrpSpPr>
          <a:grpSpLocks/>
        </xdr:cNvGrpSpPr>
      </xdr:nvGrpSpPr>
      <xdr:grpSpPr bwMode="auto">
        <a:xfrm>
          <a:off x="2442882" y="15352059"/>
          <a:ext cx="3234578" cy="0"/>
          <a:chOff x="100" y="358"/>
          <a:chExt cx="223" cy="217"/>
        </a:xfrm>
      </xdr:grpSpPr>
      <xdr:graphicFrame macro="">
        <xdr:nvGraphicFramePr>
          <xdr:cNvPr id="17" name="Chart 4"/>
          <xdr:cNvGraphicFramePr>
            <a:graphicFrameLocks/>
          </xdr:cNvGraphicFramePr>
        </xdr:nvGraphicFramePr>
        <xdr:xfrm>
          <a:off x="100" y="358"/>
          <a:ext cx="223" cy="217"/>
        </xdr:xfrm>
        <a:graphic>
          <a:graphicData uri="http://schemas.openxmlformats.org/drawingml/2006/chart">
            <c:chart xmlns:c="http://schemas.openxmlformats.org/drawingml/2006/chart" xmlns:r="http://schemas.openxmlformats.org/officeDocument/2006/relationships" r:id="rId8"/>
          </a:graphicData>
        </a:graphic>
      </xdr:graphicFrame>
      <xdr:sp macro="" textlink="#REF!">
        <xdr:nvSpPr>
          <xdr:cNvPr id="18" name="Text Box 15"/>
          <xdr:cNvSpPr txBox="1">
            <a:spLocks noChangeArrowheads="1" noTextEdit="1"/>
          </xdr:cNvSpPr>
        </xdr:nvSpPr>
        <xdr:spPr bwMode="auto">
          <a:xfrm>
            <a:off x="809625" y="24545925"/>
            <a:ext cx="0" cy="0"/>
          </a:xfrm>
          <a:prstGeom prst="rect">
            <a:avLst/>
          </a:prstGeom>
          <a:noFill/>
          <a:ln w="9525">
            <a:noFill/>
            <a:miter lim="800000"/>
            <a:headEnd/>
            <a:tailEnd/>
          </a:ln>
        </xdr:spPr>
        <xdr:txBody>
          <a:bodyPr/>
          <a:lstStyle/>
          <a:p>
            <a:fld id="{151D4637-D95C-49B1-B88C-A8EFE713B07E}" type="TxLink">
              <a:rPr lang="fr-BE"/>
              <a:pPr/>
              <a:t></a:t>
            </a:fld>
            <a:endParaRPr lang="fr-BE"/>
          </a:p>
        </xdr:txBody>
      </xdr:sp>
    </xdr:grpSp>
    <xdr:clientData/>
  </xdr:twoCellAnchor>
  <xdr:twoCellAnchor>
    <xdr:from>
      <xdr:col>2</xdr:col>
      <xdr:colOff>0</xdr:colOff>
      <xdr:row>79</xdr:row>
      <xdr:rowOff>0</xdr:rowOff>
    </xdr:from>
    <xdr:to>
      <xdr:col>4</xdr:col>
      <xdr:colOff>466725</xdr:colOff>
      <xdr:row>79</xdr:row>
      <xdr:rowOff>0</xdr:rowOff>
    </xdr:to>
    <xdr:grpSp>
      <xdr:nvGrpSpPr>
        <xdr:cNvPr id="19" name="Group 13"/>
        <xdr:cNvGrpSpPr>
          <a:grpSpLocks/>
        </xdr:cNvGrpSpPr>
      </xdr:nvGrpSpPr>
      <xdr:grpSpPr bwMode="auto">
        <a:xfrm>
          <a:off x="2442882" y="15352059"/>
          <a:ext cx="3234578" cy="0"/>
          <a:chOff x="100" y="358"/>
          <a:chExt cx="223" cy="217"/>
        </a:xfrm>
      </xdr:grpSpPr>
      <xdr:graphicFrame macro="">
        <xdr:nvGraphicFramePr>
          <xdr:cNvPr id="20" name="Chart 4"/>
          <xdr:cNvGraphicFramePr>
            <a:graphicFrameLocks/>
          </xdr:cNvGraphicFramePr>
        </xdr:nvGraphicFramePr>
        <xdr:xfrm>
          <a:off x="100" y="358"/>
          <a:ext cx="223" cy="217"/>
        </xdr:xfrm>
        <a:graphic>
          <a:graphicData uri="http://schemas.openxmlformats.org/drawingml/2006/chart">
            <c:chart xmlns:c="http://schemas.openxmlformats.org/drawingml/2006/chart" xmlns:r="http://schemas.openxmlformats.org/officeDocument/2006/relationships" r:id="rId9"/>
          </a:graphicData>
        </a:graphic>
      </xdr:graphicFrame>
      <xdr:sp macro="" textlink="#REF!">
        <xdr:nvSpPr>
          <xdr:cNvPr id="21" name="Text Box 15"/>
          <xdr:cNvSpPr txBox="1">
            <a:spLocks noChangeArrowheads="1" noTextEdit="1"/>
          </xdr:cNvSpPr>
        </xdr:nvSpPr>
        <xdr:spPr bwMode="auto">
          <a:xfrm>
            <a:off x="809625" y="24545925"/>
            <a:ext cx="0" cy="0"/>
          </a:xfrm>
          <a:prstGeom prst="rect">
            <a:avLst/>
          </a:prstGeom>
          <a:noFill/>
          <a:ln w="9525">
            <a:noFill/>
            <a:miter lim="800000"/>
            <a:headEnd/>
            <a:tailEnd/>
          </a:ln>
        </xdr:spPr>
        <xdr:txBody>
          <a:bodyPr/>
          <a:lstStyle/>
          <a:p>
            <a:fld id="{A81B7E2A-57BE-4F72-944E-802213AF3385}" type="TxLink">
              <a:rPr lang="fr-BE"/>
              <a:pPr/>
              <a:t></a:t>
            </a:fld>
            <a:endParaRPr lang="fr-BE"/>
          </a:p>
        </xdr:txBody>
      </xdr:sp>
    </xdr:grpSp>
    <xdr:clientData/>
  </xdr:twoCellAnchor>
  <xdr:twoCellAnchor>
    <xdr:from>
      <xdr:col>2</xdr:col>
      <xdr:colOff>0</xdr:colOff>
      <xdr:row>79</xdr:row>
      <xdr:rowOff>0</xdr:rowOff>
    </xdr:from>
    <xdr:to>
      <xdr:col>4</xdr:col>
      <xdr:colOff>466725</xdr:colOff>
      <xdr:row>79</xdr:row>
      <xdr:rowOff>0</xdr:rowOff>
    </xdr:to>
    <xdr:grpSp>
      <xdr:nvGrpSpPr>
        <xdr:cNvPr id="22" name="Group 13"/>
        <xdr:cNvGrpSpPr>
          <a:grpSpLocks/>
        </xdr:cNvGrpSpPr>
      </xdr:nvGrpSpPr>
      <xdr:grpSpPr bwMode="auto">
        <a:xfrm>
          <a:off x="2442882" y="15352059"/>
          <a:ext cx="3234578" cy="0"/>
          <a:chOff x="100" y="358"/>
          <a:chExt cx="223" cy="217"/>
        </a:xfrm>
      </xdr:grpSpPr>
      <xdr:graphicFrame macro="">
        <xdr:nvGraphicFramePr>
          <xdr:cNvPr id="23" name="Chart 4"/>
          <xdr:cNvGraphicFramePr>
            <a:graphicFrameLocks/>
          </xdr:cNvGraphicFramePr>
        </xdr:nvGraphicFramePr>
        <xdr:xfrm>
          <a:off x="100" y="358"/>
          <a:ext cx="223" cy="217"/>
        </xdr:xfrm>
        <a:graphic>
          <a:graphicData uri="http://schemas.openxmlformats.org/drawingml/2006/chart">
            <c:chart xmlns:c="http://schemas.openxmlformats.org/drawingml/2006/chart" xmlns:r="http://schemas.openxmlformats.org/officeDocument/2006/relationships" r:id="rId10"/>
          </a:graphicData>
        </a:graphic>
      </xdr:graphicFrame>
      <xdr:sp macro="" textlink="#REF!">
        <xdr:nvSpPr>
          <xdr:cNvPr id="24" name="Text Box 15"/>
          <xdr:cNvSpPr txBox="1">
            <a:spLocks noChangeArrowheads="1" noTextEdit="1"/>
          </xdr:cNvSpPr>
        </xdr:nvSpPr>
        <xdr:spPr bwMode="auto">
          <a:xfrm>
            <a:off x="809625" y="24545925"/>
            <a:ext cx="0" cy="0"/>
          </a:xfrm>
          <a:prstGeom prst="rect">
            <a:avLst/>
          </a:prstGeom>
          <a:noFill/>
          <a:ln w="9525">
            <a:noFill/>
            <a:miter lim="800000"/>
            <a:headEnd/>
            <a:tailEnd/>
          </a:ln>
        </xdr:spPr>
        <xdr:txBody>
          <a:bodyPr/>
          <a:lstStyle/>
          <a:p>
            <a:fld id="{456400FD-DFB2-4150-8E57-4AC9DEBD1FA2}" type="TxLink">
              <a:rPr lang="fr-BE"/>
              <a:pPr/>
              <a:t></a:t>
            </a:fld>
            <a:endParaRPr lang="fr-BE"/>
          </a:p>
        </xdr:txBody>
      </xdr:sp>
    </xdr:grpSp>
    <xdr:clientData/>
  </xdr:twoCellAnchor>
  <xdr:twoCellAnchor>
    <xdr:from>
      <xdr:col>10</xdr:col>
      <xdr:colOff>904875</xdr:colOff>
      <xdr:row>122</xdr:row>
      <xdr:rowOff>104775</xdr:rowOff>
    </xdr:from>
    <xdr:to>
      <xdr:col>12</xdr:col>
      <xdr:colOff>1457325</xdr:colOff>
      <xdr:row>138</xdr:row>
      <xdr:rowOff>76200</xdr:rowOff>
    </xdr:to>
    <xdr:graphicFrame macro="">
      <xdr:nvGraphicFramePr>
        <xdr:cNvPr id="25" name="Chart 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0.26796</cdr:x>
      <cdr:y>0.70977</cdr:y>
    </cdr:from>
    <cdr:to>
      <cdr:x>0.79719</cdr:x>
      <cdr:y>0.79653</cdr:y>
    </cdr:to>
    <cdr:sp macro="" textlink="'5-Tool Mobiliteit A'!$S$119">
      <cdr:nvSpPr>
        <cdr:cNvPr id="616450" name="Text Box 2"/>
        <cdr:cNvSpPr txBox="1">
          <a:spLocks xmlns:a="http://schemas.openxmlformats.org/drawingml/2006/main" noChangeArrowheads="1" noTextEdit="1"/>
        </cdr:cNvSpPr>
      </cdr:nvSpPr>
      <cdr:spPr bwMode="auto">
        <a:xfrm xmlns:a="http://schemas.openxmlformats.org/drawingml/2006/main">
          <a:off x="822473" y="2031333"/>
          <a:ext cx="1618142" cy="24791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BECBF5CE-DD88-4A19-857A-5C2958405A60}" type="TxLink">
            <a:rPr lang="en-US" sz="900" b="0" i="0" u="none" strike="noStrike" baseline="0">
              <a:solidFill>
                <a:srgbClr val="000000"/>
              </a:solidFill>
              <a:latin typeface="Arial" pitchFamily="34" charset="0"/>
              <a:cs typeface="Arial" pitchFamily="34" charset="0"/>
            </a:rPr>
            <a:pPr algn="ctr" rtl="0">
              <a:defRPr sz="1000"/>
            </a:pPr>
            <a:t> </a:t>
          </a:fld>
          <a:endParaRPr lang="fr-BE" sz="900" b="1" i="0" u="none" strike="noStrike" baseline="0">
            <a:solidFill>
              <a:srgbClr val="000000"/>
            </a:solidFill>
            <a:latin typeface="Arial" pitchFamily="34" charset="0"/>
            <a:cs typeface="Arial" pitchFamily="34" charset="0"/>
          </a:endParaRPr>
        </a:p>
      </cdr:txBody>
    </cdr:sp>
  </cdr:relSizeAnchor>
  <cdr:relSizeAnchor xmlns:cdr="http://schemas.openxmlformats.org/drawingml/2006/chartDrawing">
    <cdr:from>
      <cdr:x>0.32813</cdr:x>
      <cdr:y>0.41806</cdr:y>
    </cdr:from>
    <cdr:to>
      <cdr:x>0.72188</cdr:x>
      <cdr:y>0.48829</cdr:y>
    </cdr:to>
    <cdr:sp macro="" textlink="'5-Tool Mobiliteit A'!$S$120">
      <cdr:nvSpPr>
        <cdr:cNvPr id="616451" name="Text Box 3"/>
        <cdr:cNvSpPr txBox="1">
          <a:spLocks xmlns:a="http://schemas.openxmlformats.org/drawingml/2006/main" noChangeArrowheads="1" noTextEdit="1"/>
        </cdr:cNvSpPr>
      </cdr:nvSpPr>
      <cdr:spPr bwMode="auto">
        <a:xfrm xmlns:a="http://schemas.openxmlformats.org/drawingml/2006/main">
          <a:off x="1000125" y="1190625"/>
          <a:ext cx="1200150" cy="20002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940A6D5A-2BB6-46BC-AE33-3A3CB19A83E8}" type="TxLink">
            <a:rPr lang="en-US" sz="900" b="0" i="0" u="none" strike="noStrike" baseline="0">
              <a:solidFill>
                <a:srgbClr val="000000"/>
              </a:solidFill>
              <a:latin typeface="Arial" pitchFamily="34" charset="0"/>
              <a:cs typeface="Arial" pitchFamily="34" charset="0"/>
            </a:rPr>
            <a:pPr algn="ctr" rtl="0">
              <a:defRPr sz="1000"/>
            </a:pPr>
            <a:t> </a:t>
          </a:fld>
          <a:endParaRPr lang="fr-BE" sz="800" b="1" i="0" u="none" strike="noStrike" baseline="0">
            <a:solidFill>
              <a:srgbClr val="000000"/>
            </a:solidFill>
            <a:latin typeface="Arial" pitchFamily="34" charset="0"/>
            <a:cs typeface="Arial"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5</xdr:col>
      <xdr:colOff>1660525</xdr:colOff>
      <xdr:row>15</xdr:row>
      <xdr:rowOff>104775</xdr:rowOff>
    </xdr:from>
    <xdr:to>
      <xdr:col>5</xdr:col>
      <xdr:colOff>1831975</xdr:colOff>
      <xdr:row>16</xdr:row>
      <xdr:rowOff>0</xdr:rowOff>
    </xdr:to>
    <xdr:sp macro="" textlink="">
      <xdr:nvSpPr>
        <xdr:cNvPr id="2" name="Flèche vers le bas 1"/>
        <xdr:cNvSpPr/>
      </xdr:nvSpPr>
      <xdr:spPr>
        <a:xfrm>
          <a:off x="4575175" y="428625"/>
          <a:ext cx="0" cy="57150"/>
        </a:xfrm>
        <a:prstGeom prst="downArrow">
          <a:avLst/>
        </a:prstGeom>
      </xdr:spPr>
      <xdr:style>
        <a:lnRef idx="0">
          <a:schemeClr val="accent2"/>
        </a:lnRef>
        <a:fillRef idx="3">
          <a:schemeClr val="accent2"/>
        </a:fillRef>
        <a:effectRef idx="3">
          <a:schemeClr val="accent2"/>
        </a:effectRef>
        <a:fontRef idx="minor">
          <a:schemeClr val="lt1"/>
        </a:fontRef>
      </xdr:style>
      <xdr:txBody>
        <a:bodyPr rtlCol="0" anchor="ctr"/>
        <a:lstStyle/>
        <a:p>
          <a:endParaRPr lang="fr-F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Documents%20and%20Settings/PS.IW/Local%20Settings/Temporary%20Internet%20Files/Content.Outlook/I9S5FJLC/SOURCE/MATRIciel/08147_INTERREG_D&#233;finition%20TARGETS_ENTREPRISES_100202_MATRIciel_ld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Documents%20and%20Settings/Laurent/Application%20Data/Microsoft/Excel/08147_INTERREG_D&#233;finition%20TARGETS_ENTREPRISES_DRAFT_100312_MATRIciel_ld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GETS"/>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GETS-01"/>
      <sheetName val="Structures"/>
      <sheetName val="Complexes de parois"/>
      <sheetName val="TARGETS-PAROIS_Moy pondérée"/>
      <sheetName val="TARGETS-PAROIS_filtres"/>
      <sheetName val="Intitulés Critères"/>
    </sheetNames>
    <sheetDataSet>
      <sheetData sheetId="0"/>
      <sheetData sheetId="1" refreshError="1"/>
      <sheetData sheetId="2" refreshError="1"/>
      <sheetData sheetId="3"/>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8" Type="http://schemas.openxmlformats.org/officeDocument/2006/relationships/hyperlink" Target="http://www.ibgebim.be/Templates/Professionnels/Informer.aspx?id=1586&amp;langtype=2060" TargetMode="External"/><Relationship Id="rId13" Type="http://schemas.openxmlformats.org/officeDocument/2006/relationships/hyperlink" Target="http://www.carpool.be/rwl/particulieren/index.html" TargetMode="External"/><Relationship Id="rId18" Type="http://schemas.openxmlformats.org/officeDocument/2006/relationships/hyperlink" Target="http://www.emploi.belgique.be/defaultTab.aspx?id=23938" TargetMode="External"/><Relationship Id="rId3" Type="http://schemas.openxmlformats.org/officeDocument/2006/relationships/hyperlink" Target="http://www.lifecycle.cc/" TargetMode="External"/><Relationship Id="rId7" Type="http://schemas.openxmlformats.org/officeDocument/2006/relationships/hyperlink" Target="http://mobilite.wallonie.be/opencms/opencms/fr/planification_realisations/pde" TargetMode="External"/><Relationship Id="rId12" Type="http://schemas.openxmlformats.org/officeDocument/2006/relationships/hyperlink" Target="http://www.mobilit.fgov.be/fr/indexReframed.htm?newURL=%2Ffr%2Fmobil%2Fmobaccf%2Fdiagnosf.htm" TargetMode="External"/><Relationship Id="rId17" Type="http://schemas.openxmlformats.org/officeDocument/2006/relationships/hyperlink" Target="http://www.emploi.belgique.be/defaultTab.aspx?id=23938" TargetMode="External"/><Relationship Id="rId2" Type="http://schemas.openxmlformats.org/officeDocument/2006/relationships/hyperlink" Target="http://www.biketowork.be/" TargetMode="External"/><Relationship Id="rId16" Type="http://schemas.openxmlformats.org/officeDocument/2006/relationships/hyperlink" Target="http://www.cambio.be/" TargetMode="External"/><Relationship Id="rId1" Type="http://schemas.openxmlformats.org/officeDocument/2006/relationships/hyperlink" Target="http://www.mobilit.fgov.be/data/mobil/BEST_PRACTICES_FR.pdf" TargetMode="External"/><Relationship Id="rId6" Type="http://schemas.openxmlformats.org/officeDocument/2006/relationships/hyperlink" Target="http://www.damier.be/" TargetMode="External"/><Relationship Id="rId11" Type="http://schemas.openxmlformats.org/officeDocument/2006/relationships/hyperlink" Target="http://www.stib.be/Produit-product.html?l=fr&amp;news_rid=/STIB-MIVB/INTERNET/ACTUS/STATIC/WEB_Article_1_1196164447795.xml" TargetMode="External"/><Relationship Id="rId5" Type="http://schemas.openxmlformats.org/officeDocument/2006/relationships/hyperlink" Target="http://www.athloncarlease.com/athlon-be/" TargetMode="External"/><Relationship Id="rId15" Type="http://schemas.openxmlformats.org/officeDocument/2006/relationships/hyperlink" Target="http://www.mobilit.fgov.be/data/mobil/BEST_PRACTICES_FR.pdf" TargetMode="External"/><Relationship Id="rId10" Type="http://schemas.openxmlformats.org/officeDocument/2006/relationships/hyperlink" Target="http://mobilite.wallonie.be/opencms/opencms/fr/formation_information_sensibilisation/fam/" TargetMode="External"/><Relationship Id="rId19" Type="http://schemas.openxmlformats.org/officeDocument/2006/relationships/printerSettings" Target="../printerSettings/printerSettings2.bin"/><Relationship Id="rId4" Type="http://schemas.openxmlformats.org/officeDocument/2006/relationships/hyperlink" Target="http://www.b-rail.be/nat/F/enterprises/railease/index.php" TargetMode="External"/><Relationship Id="rId9" Type="http://schemas.openxmlformats.org/officeDocument/2006/relationships/hyperlink" Target="http://www.uwe.be/publications/etudes-rapports-guides-pratiques/guides-pratiques-et-statistiques/plan-de-deplacement-dentreprise-pde/" TargetMode="External"/><Relationship Id="rId14" Type="http://schemas.openxmlformats.org/officeDocument/2006/relationships/hyperlink" Target="http://www.taxistop.be/2/carpool/2smartpool-1.htm"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taxistop.be/2/carpool/2smartpool-1.htm" TargetMode="External"/><Relationship Id="rId13" Type="http://schemas.openxmlformats.org/officeDocument/2006/relationships/hyperlink" Target="http://www.carpool.be/zone/nivelles-sud/" TargetMode="External"/><Relationship Id="rId18" Type="http://schemas.openxmlformats.org/officeDocument/2006/relationships/printerSettings" Target="../printerSettings/printerSettings3.bin"/><Relationship Id="rId3" Type="http://schemas.openxmlformats.org/officeDocument/2006/relationships/hyperlink" Target="http://www.ibgebim.be/Templates/Professionnels/Informer.aspx?id=1586&amp;langtype=2060" TargetMode="External"/><Relationship Id="rId7" Type="http://schemas.openxmlformats.org/officeDocument/2006/relationships/hyperlink" Target="http://www.carpool.be/rwl/particulieren/index.html" TargetMode="External"/><Relationship Id="rId12" Type="http://schemas.openxmlformats.org/officeDocument/2006/relationships/hyperlink" Target="http://www.carpool.be/rwl/particulieren/parkings/index.html" TargetMode="External"/><Relationship Id="rId17" Type="http://schemas.openxmlformats.org/officeDocument/2006/relationships/hyperlink" Target="http://www.provelo.org/" TargetMode="External"/><Relationship Id="rId2" Type="http://schemas.openxmlformats.org/officeDocument/2006/relationships/hyperlink" Target="http://www.mobilit.fgov.be/data/mobil/BEST_PRACTICES_FR.pdf" TargetMode="External"/><Relationship Id="rId16" Type="http://schemas.openxmlformats.org/officeDocument/2006/relationships/hyperlink" Target="http://www.gracq.org/" TargetMode="External"/><Relationship Id="rId1" Type="http://schemas.openxmlformats.org/officeDocument/2006/relationships/hyperlink" Target="http://www.mobilit.fgov.be/data/mobil/BEST_PRACTICES_FR.pdf" TargetMode="External"/><Relationship Id="rId6" Type="http://schemas.openxmlformats.org/officeDocument/2006/relationships/hyperlink" Target="http://mobilite.wallonie.be/opencms/opencms/fr/planification_realisations/pde/pmza/index.html" TargetMode="External"/><Relationship Id="rId11" Type="http://schemas.openxmlformats.org/officeDocument/2006/relationships/hyperlink" Target="http://www.carpool.be/rbx/particulieren/parkings/index.html" TargetMode="External"/><Relationship Id="rId5" Type="http://schemas.openxmlformats.org/officeDocument/2006/relationships/hyperlink" Target="http://www.mobilit.fgov.be/fr/indexReframed.htm?newURL=%2Ffr%2Fmobil%2Fmobaccf%2Fdiagnosf.htm" TargetMode="External"/><Relationship Id="rId15" Type="http://schemas.openxmlformats.org/officeDocument/2006/relationships/hyperlink" Target="http://semaine.mobilite.wallonie.be/" TargetMode="External"/><Relationship Id="rId10" Type="http://schemas.openxmlformats.org/officeDocument/2006/relationships/hyperlink" Target="http://www.stib.be/Produit-product.html?l=fr&amp;news_rid=/STIB-MIVB/INTERNET/ACTUS/STATIC/WEB_Article_1_1196164447795.xml" TargetMode="External"/><Relationship Id="rId4" Type="http://schemas.openxmlformats.org/officeDocument/2006/relationships/hyperlink" Target="http://www.mobilitymanagement.be/francais/measures.htm" TargetMode="External"/><Relationship Id="rId9" Type="http://schemas.openxmlformats.org/officeDocument/2006/relationships/hyperlink" Target="http://mobilite.wallonie.be/opencms/opencms/fr/formation_information_sensibilisation/fam/" TargetMode="External"/><Relationship Id="rId14" Type="http://schemas.openxmlformats.org/officeDocument/2006/relationships/hyperlink" Target="http://www.fridaybikeday.be/" TargetMode="Externa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hyperlink" Target="http://maps.google.be/maps?hl=fr&amp;ie=UTF-8&amp;tab=wl" TargetMode="External"/><Relationship Id="rId1" Type="http://schemas.openxmlformats.org/officeDocument/2006/relationships/hyperlink" Target="http://www.ephemeride.com/atlas/distanceaeroport/0/"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hyperlink" Target="http://economie.fgov.be/fr/statistiques/chiffres/energie/prix/moyen_8/index.jsp" TargetMode="External"/><Relationship Id="rId1" Type="http://schemas.openxmlformats.org/officeDocument/2006/relationships/hyperlink" Target="http://www.carbu.be/" TargetMode="External"/><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1.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enableFormatConditionsCalculation="0"/>
  <dimension ref="B1:J26"/>
  <sheetViews>
    <sheetView workbookViewId="0">
      <selection activeCell="L24" sqref="L24"/>
    </sheetView>
  </sheetViews>
  <sheetFormatPr defaultColWidth="11.42578125" defaultRowHeight="15"/>
  <sheetData>
    <row r="1" spans="2:10" ht="15.75" thickBot="1"/>
    <row r="2" spans="2:10">
      <c r="B2" s="812"/>
      <c r="C2" s="811"/>
      <c r="D2" s="811"/>
      <c r="E2" s="811"/>
      <c r="F2" s="811"/>
      <c r="G2" s="811"/>
      <c r="H2" s="811"/>
      <c r="I2" s="811"/>
      <c r="J2" s="827"/>
    </row>
    <row r="3" spans="2:10">
      <c r="B3" s="828"/>
      <c r="D3" s="786"/>
      <c r="E3" s="786"/>
      <c r="F3" s="786"/>
      <c r="G3" s="786"/>
      <c r="H3" s="786"/>
      <c r="I3" s="786"/>
      <c r="J3" s="830"/>
    </row>
    <row r="4" spans="2:10">
      <c r="B4" s="828">
        <v>1</v>
      </c>
      <c r="C4" s="829" t="s">
        <v>1960</v>
      </c>
      <c r="D4" s="786"/>
      <c r="E4" s="786"/>
      <c r="F4" s="786"/>
      <c r="G4" s="786"/>
      <c r="H4" s="786"/>
      <c r="I4" s="786"/>
      <c r="J4" s="830"/>
    </row>
    <row r="5" spans="2:10">
      <c r="B5" s="828">
        <v>2</v>
      </c>
      <c r="C5" s="829" t="s">
        <v>986</v>
      </c>
      <c r="D5" s="786"/>
      <c r="E5" s="786"/>
      <c r="F5" s="786"/>
      <c r="G5" s="786"/>
      <c r="H5" s="786"/>
      <c r="I5" s="786"/>
      <c r="J5" s="830"/>
    </row>
    <row r="6" spans="2:10">
      <c r="B6" s="828">
        <v>3</v>
      </c>
      <c r="C6" s="829" t="s">
        <v>1186</v>
      </c>
      <c r="D6" s="786"/>
      <c r="E6" s="786"/>
      <c r="F6" s="786"/>
      <c r="G6" s="831"/>
      <c r="H6" s="786"/>
      <c r="I6" s="786"/>
      <c r="J6" s="830"/>
    </row>
    <row r="7" spans="2:10">
      <c r="B7" s="828">
        <v>4</v>
      </c>
      <c r="C7" s="829" t="s">
        <v>1973</v>
      </c>
      <c r="D7" s="786"/>
      <c r="E7" s="786"/>
      <c r="F7" s="786"/>
      <c r="G7" s="786"/>
      <c r="H7" s="786"/>
      <c r="I7" s="786"/>
      <c r="J7" s="830"/>
    </row>
    <row r="8" spans="2:10">
      <c r="B8" s="828">
        <v>5</v>
      </c>
      <c r="C8" s="829" t="s">
        <v>1974</v>
      </c>
      <c r="D8" s="786"/>
      <c r="E8" s="786"/>
      <c r="F8" s="786"/>
      <c r="G8" s="786"/>
      <c r="H8" s="786"/>
      <c r="I8" s="786"/>
      <c r="J8" s="830"/>
    </row>
    <row r="9" spans="2:10">
      <c r="B9" s="828">
        <v>6</v>
      </c>
      <c r="C9" s="829" t="s">
        <v>1975</v>
      </c>
      <c r="D9" s="786"/>
      <c r="E9" s="786"/>
      <c r="F9" s="786"/>
      <c r="G9" s="786"/>
      <c r="H9" s="786"/>
      <c r="I9" s="786"/>
      <c r="J9" s="830"/>
    </row>
    <row r="10" spans="2:10">
      <c r="B10" s="828">
        <v>7</v>
      </c>
      <c r="C10" s="829" t="s">
        <v>487</v>
      </c>
      <c r="D10" s="786"/>
      <c r="E10" s="786"/>
      <c r="F10" s="786"/>
      <c r="G10" s="786"/>
      <c r="H10" s="786"/>
      <c r="I10" s="786"/>
      <c r="J10" s="830"/>
    </row>
    <row r="11" spans="2:10">
      <c r="B11" s="828">
        <v>8</v>
      </c>
      <c r="C11" s="829" t="s">
        <v>1976</v>
      </c>
      <c r="D11" s="786"/>
      <c r="E11" s="786"/>
      <c r="F11" s="786"/>
      <c r="G11" s="786"/>
      <c r="H11" s="786"/>
      <c r="I11" s="786"/>
      <c r="J11" s="830"/>
    </row>
    <row r="12" spans="2:10">
      <c r="B12" s="828">
        <v>9</v>
      </c>
      <c r="C12" s="829" t="s">
        <v>1977</v>
      </c>
      <c r="D12" s="786"/>
      <c r="E12" s="786"/>
      <c r="F12" s="786"/>
      <c r="G12" s="786"/>
      <c r="H12" s="786"/>
      <c r="I12" s="786"/>
      <c r="J12" s="830"/>
    </row>
    <row r="13" spans="2:10">
      <c r="B13" s="803"/>
      <c r="C13" s="786"/>
      <c r="D13" s="786"/>
      <c r="E13" s="786"/>
      <c r="F13" s="786"/>
      <c r="G13" s="786"/>
      <c r="H13" s="786"/>
      <c r="I13" s="786"/>
      <c r="J13" s="830"/>
    </row>
    <row r="14" spans="2:10">
      <c r="B14" s="803"/>
      <c r="C14" s="786"/>
      <c r="D14" s="786"/>
      <c r="E14" s="786"/>
      <c r="F14" s="786"/>
      <c r="G14" s="786"/>
      <c r="H14" s="786"/>
      <c r="I14" s="786"/>
      <c r="J14" s="830"/>
    </row>
    <row r="15" spans="2:10">
      <c r="B15" s="803"/>
      <c r="C15" s="786"/>
      <c r="D15" s="786"/>
      <c r="E15" s="786"/>
      <c r="F15" s="786"/>
      <c r="G15" s="786"/>
      <c r="H15" s="786"/>
      <c r="I15" s="786"/>
      <c r="J15" s="830"/>
    </row>
    <row r="16" spans="2:10">
      <c r="B16" s="803"/>
      <c r="C16" s="786"/>
      <c r="D16" s="786"/>
      <c r="E16" s="786"/>
      <c r="F16" s="786"/>
      <c r="G16" s="786"/>
      <c r="H16" s="786"/>
      <c r="I16" s="786"/>
      <c r="J16" s="830"/>
    </row>
    <row r="17" spans="2:10">
      <c r="B17" s="803"/>
      <c r="C17" s="786"/>
      <c r="D17" s="786"/>
      <c r="E17" s="786"/>
      <c r="F17" s="786"/>
      <c r="G17" s="786"/>
      <c r="H17" s="786"/>
      <c r="I17" s="786"/>
      <c r="J17" s="830"/>
    </row>
    <row r="18" spans="2:10">
      <c r="B18" s="803"/>
      <c r="C18" s="786"/>
      <c r="D18" s="786"/>
      <c r="E18" s="786"/>
      <c r="F18" s="786"/>
      <c r="G18" s="786"/>
      <c r="H18" s="786"/>
      <c r="I18" s="786"/>
      <c r="J18" s="830"/>
    </row>
    <row r="19" spans="2:10">
      <c r="B19" s="803"/>
      <c r="C19" s="786"/>
      <c r="D19" s="786"/>
      <c r="E19" s="786"/>
      <c r="F19" s="786"/>
      <c r="G19" s="786"/>
      <c r="H19" s="786"/>
      <c r="I19" s="786"/>
      <c r="J19" s="830"/>
    </row>
    <row r="20" spans="2:10">
      <c r="B20" s="803"/>
      <c r="C20" s="786"/>
      <c r="D20" s="786"/>
      <c r="E20" s="786"/>
      <c r="F20" s="786"/>
      <c r="G20" s="786"/>
      <c r="H20" s="786"/>
      <c r="I20" s="786"/>
      <c r="J20" s="830"/>
    </row>
    <row r="21" spans="2:10">
      <c r="B21" s="803"/>
      <c r="C21" s="786"/>
      <c r="D21" s="786"/>
      <c r="E21" s="786"/>
      <c r="F21" s="786"/>
      <c r="G21" s="786"/>
      <c r="H21" s="786"/>
      <c r="I21" s="786"/>
      <c r="J21" s="830"/>
    </row>
    <row r="22" spans="2:10">
      <c r="B22" s="803"/>
      <c r="C22" s="786"/>
      <c r="D22" s="786"/>
      <c r="E22" s="786"/>
      <c r="F22" s="786"/>
      <c r="G22" s="786"/>
      <c r="H22" s="786"/>
      <c r="I22" s="786"/>
      <c r="J22" s="830"/>
    </row>
    <row r="23" spans="2:10">
      <c r="B23" s="803"/>
      <c r="C23" s="786"/>
      <c r="D23" s="786"/>
      <c r="E23" s="786"/>
      <c r="F23" s="786"/>
      <c r="G23" s="786"/>
      <c r="H23" s="786"/>
      <c r="I23" s="786"/>
      <c r="J23" s="830"/>
    </row>
    <row r="24" spans="2:10">
      <c r="B24" s="803"/>
      <c r="C24" s="786"/>
      <c r="D24" s="786"/>
      <c r="E24" s="786"/>
      <c r="F24" s="786"/>
      <c r="G24" s="786"/>
      <c r="H24" s="786"/>
      <c r="I24" s="786"/>
      <c r="J24" s="830"/>
    </row>
    <row r="25" spans="2:10">
      <c r="B25" s="803"/>
      <c r="C25" s="786"/>
      <c r="D25" s="786"/>
      <c r="E25" s="786"/>
      <c r="F25" s="786"/>
      <c r="G25" s="786"/>
      <c r="H25" s="786"/>
      <c r="I25" s="786"/>
      <c r="J25" s="830"/>
    </row>
    <row r="26" spans="2:10" ht="15.75" thickBot="1">
      <c r="B26" s="797"/>
      <c r="C26" s="796"/>
      <c r="D26" s="796"/>
      <c r="E26" s="796"/>
      <c r="F26" s="796"/>
      <c r="G26" s="796"/>
      <c r="H26" s="796"/>
      <c r="I26" s="796"/>
      <c r="J26" s="832"/>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enableFormatConditionsCalculation="0">
    <pageSetUpPr fitToPage="1"/>
  </sheetPr>
  <dimension ref="A1:K123"/>
  <sheetViews>
    <sheetView showZeros="0" topLeftCell="A14" zoomScaleNormal="100" workbookViewId="0">
      <selection activeCell="D25" sqref="D25"/>
    </sheetView>
  </sheetViews>
  <sheetFormatPr defaultColWidth="11.42578125" defaultRowHeight="11.25" outlineLevelRow="2"/>
  <cols>
    <col min="1" max="1" width="7.85546875" style="191" customWidth="1"/>
    <col min="2" max="2" width="9" style="191" customWidth="1"/>
    <col min="3" max="3" width="6.85546875" style="191" customWidth="1"/>
    <col min="4" max="4" width="6.42578125" style="313" customWidth="1"/>
    <col min="5" max="5" width="30.28515625" style="312" bestFit="1" customWidth="1"/>
    <col min="6" max="6" width="45.140625" style="312" customWidth="1"/>
    <col min="7" max="7" width="87.42578125" style="311" customWidth="1"/>
    <col min="8" max="8" width="48.28515625" style="311" customWidth="1"/>
    <col min="9" max="9" width="46.42578125" style="191" customWidth="1"/>
    <col min="10" max="16384" width="11.42578125" style="191"/>
  </cols>
  <sheetData>
    <row r="1" spans="1:11" ht="20.25" customHeight="1">
      <c r="A1" s="1030"/>
      <c r="B1" s="1030"/>
      <c r="C1" s="1030"/>
      <c r="D1" s="1031"/>
      <c r="E1" s="1032"/>
      <c r="F1" s="1032"/>
      <c r="G1" s="1034"/>
      <c r="H1" s="1034"/>
      <c r="I1" s="1030"/>
      <c r="J1" s="1030"/>
    </row>
    <row r="2" spans="1:11" s="180" customFormat="1" ht="20.25">
      <c r="A2" s="989"/>
      <c r="B2" s="989"/>
      <c r="C2" s="1023" t="s">
        <v>1199</v>
      </c>
      <c r="D2" s="1024"/>
      <c r="E2" s="1024"/>
      <c r="F2" s="1024"/>
      <c r="G2" s="1025"/>
      <c r="H2" s="1036"/>
      <c r="I2" s="1036"/>
      <c r="J2" s="1036"/>
      <c r="K2" s="838"/>
    </row>
    <row r="3" spans="1:11" s="180" customFormat="1" ht="12" customHeight="1" thickBot="1">
      <c r="A3" s="989"/>
      <c r="B3" s="989"/>
      <c r="C3" s="1028"/>
      <c r="D3" s="1033"/>
      <c r="E3" s="1033"/>
      <c r="F3" s="1033"/>
      <c r="G3" s="989"/>
      <c r="H3" s="1036"/>
      <c r="I3" s="1036"/>
      <c r="J3" s="1036"/>
      <c r="K3" s="838"/>
    </row>
    <row r="4" spans="1:11" s="180" customFormat="1" ht="27.75" thickBot="1">
      <c r="A4" s="989"/>
      <c r="B4" s="989"/>
      <c r="C4" s="1029"/>
      <c r="D4" s="1520" t="s">
        <v>1165</v>
      </c>
      <c r="E4" s="1521"/>
      <c r="F4" s="1521"/>
      <c r="G4" s="1521"/>
      <c r="H4" s="1521"/>
      <c r="I4" s="1521"/>
      <c r="J4" s="1522"/>
      <c r="K4" s="838"/>
    </row>
    <row r="5" spans="1:11" s="180" customFormat="1" ht="15.75">
      <c r="A5" s="989"/>
      <c r="B5" s="989"/>
      <c r="C5" s="1029"/>
      <c r="D5" s="1026" t="s">
        <v>1200</v>
      </c>
      <c r="E5" s="1026"/>
      <c r="F5" s="1026"/>
      <c r="G5" s="989"/>
      <c r="H5" s="1036"/>
      <c r="I5" s="1036"/>
      <c r="J5" s="1036"/>
      <c r="K5" s="838"/>
    </row>
    <row r="6" spans="1:11" s="323" customFormat="1">
      <c r="A6" s="1035"/>
      <c r="B6" s="324"/>
      <c r="C6" s="324" t="s">
        <v>1719</v>
      </c>
      <c r="D6" s="327" t="s">
        <v>1714</v>
      </c>
      <c r="E6" s="326" t="s">
        <v>440</v>
      </c>
      <c r="F6" s="326" t="s">
        <v>1715</v>
      </c>
      <c r="G6" s="325" t="s">
        <v>1716</v>
      </c>
      <c r="H6" s="325" t="s">
        <v>1717</v>
      </c>
      <c r="I6" s="325" t="s">
        <v>1718</v>
      </c>
      <c r="J6" s="1035"/>
    </row>
    <row r="7" spans="1:11" ht="22.5" outlineLevel="2">
      <c r="A7" s="1030"/>
      <c r="B7" s="1030"/>
      <c r="C7" s="329"/>
      <c r="D7" s="1027" t="s">
        <v>1990</v>
      </c>
      <c r="E7" s="312" t="s">
        <v>1667</v>
      </c>
      <c r="F7" s="312" t="s">
        <v>1217</v>
      </c>
      <c r="G7" s="311" t="s">
        <v>1222</v>
      </c>
      <c r="H7" s="315" t="s">
        <v>439</v>
      </c>
      <c r="I7" s="311" t="s">
        <v>438</v>
      </c>
      <c r="J7" s="1030"/>
    </row>
    <row r="8" spans="1:11" ht="22.5" outlineLevel="2">
      <c r="A8" s="1030"/>
      <c r="B8" s="1030"/>
      <c r="C8" s="329"/>
      <c r="D8" s="1027" t="s">
        <v>1990</v>
      </c>
      <c r="E8" s="312" t="s">
        <v>1667</v>
      </c>
      <c r="F8" s="312" t="s">
        <v>1218</v>
      </c>
      <c r="G8" s="311" t="s">
        <v>1221</v>
      </c>
      <c r="H8" s="316" t="s">
        <v>437</v>
      </c>
      <c r="J8" s="1030"/>
    </row>
    <row r="9" spans="1:11" ht="22.5" outlineLevel="2">
      <c r="A9" s="1030"/>
      <c r="B9" s="1030"/>
      <c r="C9" s="329"/>
      <c r="D9" s="1027" t="s">
        <v>1990</v>
      </c>
      <c r="E9" s="312" t="s">
        <v>1667</v>
      </c>
      <c r="F9" s="312" t="s">
        <v>1219</v>
      </c>
      <c r="G9" s="311" t="s">
        <v>1669</v>
      </c>
      <c r="H9" s="314" t="s">
        <v>436</v>
      </c>
      <c r="I9" s="316"/>
      <c r="J9" s="1030"/>
    </row>
    <row r="10" spans="1:11" ht="33.75" outlineLevel="2">
      <c r="A10" s="1030"/>
      <c r="B10" s="1030"/>
      <c r="C10" s="329"/>
      <c r="D10" s="1027" t="s">
        <v>1990</v>
      </c>
      <c r="E10" s="312" t="s">
        <v>1667</v>
      </c>
      <c r="F10" s="312" t="s">
        <v>1220</v>
      </c>
      <c r="G10" s="318"/>
      <c r="H10" s="315" t="s">
        <v>435</v>
      </c>
      <c r="I10" s="314" t="s">
        <v>434</v>
      </c>
      <c r="J10" s="1030"/>
    </row>
    <row r="11" spans="1:11" ht="45.75" outlineLevel="1" thickBot="1">
      <c r="A11" s="1030"/>
      <c r="B11" s="1051" t="s">
        <v>390</v>
      </c>
      <c r="C11" s="1051" t="str">
        <f>IF(D11&gt;0,"ja","neen")</f>
        <v>neen</v>
      </c>
      <c r="D11" s="1052">
        <f>COUNTIF(D7:D10,"ja")/COUNTA(D7:D10)</f>
        <v>0</v>
      </c>
      <c r="E11" s="1053" t="s">
        <v>1667</v>
      </c>
      <c r="F11" s="1054" t="s">
        <v>1513</v>
      </c>
      <c r="G11" s="1055"/>
      <c r="H11" s="1055"/>
      <c r="I11" s="1058"/>
      <c r="J11" s="1030"/>
    </row>
    <row r="12" spans="1:11" ht="33.75" outlineLevel="2">
      <c r="A12" s="1030"/>
      <c r="B12" s="1030"/>
      <c r="C12" s="329"/>
      <c r="D12" s="1027" t="s">
        <v>1990</v>
      </c>
      <c r="E12" s="312" t="s">
        <v>1201</v>
      </c>
      <c r="F12" s="312" t="s">
        <v>1514</v>
      </c>
      <c r="G12" s="311" t="s">
        <v>1515</v>
      </c>
      <c r="H12" s="315" t="s">
        <v>433</v>
      </c>
      <c r="I12" s="316"/>
      <c r="J12" s="1030"/>
    </row>
    <row r="13" spans="1:11" ht="22.5" outlineLevel="2">
      <c r="A13" s="1030"/>
      <c r="B13" s="1030"/>
      <c r="C13" s="329"/>
      <c r="D13" s="1027" t="s">
        <v>1990</v>
      </c>
      <c r="E13" s="312" t="s">
        <v>1201</v>
      </c>
      <c r="F13" s="312" t="s">
        <v>1516</v>
      </c>
      <c r="G13" s="311" t="s">
        <v>1517</v>
      </c>
      <c r="H13" s="322" t="s">
        <v>432</v>
      </c>
      <c r="J13" s="1030"/>
    </row>
    <row r="14" spans="1:11" ht="45" outlineLevel="2">
      <c r="A14" s="1030"/>
      <c r="B14" s="1030"/>
      <c r="C14" s="329"/>
      <c r="D14" s="1027" t="s">
        <v>1990</v>
      </c>
      <c r="E14" s="312" t="s">
        <v>1201</v>
      </c>
      <c r="F14" s="312" t="s">
        <v>1518</v>
      </c>
      <c r="G14" s="311" t="s">
        <v>1519</v>
      </c>
      <c r="J14" s="1030"/>
    </row>
    <row r="15" spans="1:11" ht="22.5" outlineLevel="2">
      <c r="A15" s="1030"/>
      <c r="B15" s="1030"/>
      <c r="C15" s="329"/>
      <c r="D15" s="1027" t="s">
        <v>1990</v>
      </c>
      <c r="E15" s="312" t="s">
        <v>1201</v>
      </c>
      <c r="F15" s="312" t="s">
        <v>1520</v>
      </c>
      <c r="G15" s="311" t="s">
        <v>1521</v>
      </c>
      <c r="J15" s="1030"/>
    </row>
    <row r="16" spans="1:11" ht="22.5" outlineLevel="2">
      <c r="A16" s="1030"/>
      <c r="B16" s="1030"/>
      <c r="C16" s="329"/>
      <c r="D16" s="1027" t="s">
        <v>1990</v>
      </c>
      <c r="E16" s="312" t="s">
        <v>1201</v>
      </c>
      <c r="F16" s="312" t="s">
        <v>1522</v>
      </c>
      <c r="G16" s="311" t="s">
        <v>1523</v>
      </c>
      <c r="J16" s="1030"/>
    </row>
    <row r="17" spans="1:10" outlineLevel="2">
      <c r="A17" s="1030"/>
      <c r="B17" s="1030"/>
      <c r="C17" s="329"/>
      <c r="D17" s="1027" t="s">
        <v>1990</v>
      </c>
      <c r="E17" s="312" t="s">
        <v>1201</v>
      </c>
      <c r="F17" s="312" t="s">
        <v>1525</v>
      </c>
      <c r="J17" s="1030"/>
    </row>
    <row r="18" spans="1:10" ht="90" outlineLevel="2">
      <c r="A18" s="1030"/>
      <c r="B18" s="1030"/>
      <c r="C18" s="329"/>
      <c r="D18" s="1027" t="s">
        <v>1990</v>
      </c>
      <c r="E18" s="312" t="s">
        <v>1201</v>
      </c>
      <c r="F18" s="312" t="s">
        <v>1524</v>
      </c>
      <c r="G18" s="311" t="s">
        <v>1526</v>
      </c>
      <c r="H18" s="311" t="s">
        <v>1768</v>
      </c>
      <c r="I18" s="311" t="s">
        <v>1769</v>
      </c>
      <c r="J18" s="1030"/>
    </row>
    <row r="19" spans="1:10" ht="22.5" outlineLevel="2">
      <c r="A19" s="1030"/>
      <c r="B19" s="1030"/>
      <c r="C19" s="329"/>
      <c r="D19" s="1027" t="s">
        <v>1990</v>
      </c>
      <c r="E19" s="312" t="s">
        <v>1201</v>
      </c>
      <c r="F19" s="312" t="s">
        <v>1527</v>
      </c>
      <c r="G19" s="311" t="s">
        <v>1528</v>
      </c>
      <c r="H19" s="315" t="s">
        <v>416</v>
      </c>
      <c r="J19" s="1030"/>
    </row>
    <row r="20" spans="1:10" ht="31.5" customHeight="1" outlineLevel="1" thickBot="1">
      <c r="A20" s="1030"/>
      <c r="B20" s="1051" t="s">
        <v>431</v>
      </c>
      <c r="C20" s="1051" t="str">
        <f>IF(D20&gt;0,"ja","neen")</f>
        <v>neen</v>
      </c>
      <c r="D20" s="1052">
        <f>COUNTIF(D12:D19,"ja")/COUNTA(D12:D19)</f>
        <v>0</v>
      </c>
      <c r="E20" s="1053" t="s">
        <v>1201</v>
      </c>
      <c r="F20" s="1054" t="s">
        <v>1529</v>
      </c>
      <c r="G20" s="1055"/>
      <c r="H20" s="1055"/>
      <c r="I20" s="1058"/>
      <c r="J20" s="1030"/>
    </row>
    <row r="21" spans="1:10" ht="33.75" outlineLevel="2">
      <c r="A21" s="1030"/>
      <c r="B21" s="1030"/>
      <c r="C21" s="329"/>
      <c r="D21" s="1027" t="s">
        <v>1990</v>
      </c>
      <c r="E21" s="312" t="s">
        <v>1202</v>
      </c>
      <c r="F21" s="312" t="s">
        <v>1530</v>
      </c>
      <c r="J21" s="1030"/>
    </row>
    <row r="22" spans="1:10" ht="22.5" outlineLevel="2">
      <c r="A22" s="1030"/>
      <c r="B22" s="1030"/>
      <c r="C22" s="329"/>
      <c r="D22" s="1027" t="s">
        <v>1990</v>
      </c>
      <c r="E22" s="312" t="s">
        <v>1202</v>
      </c>
      <c r="F22" s="312" t="s">
        <v>1531</v>
      </c>
      <c r="G22" s="317"/>
      <c r="J22" s="1030"/>
    </row>
    <row r="23" spans="1:10" ht="33.75" outlineLevel="2">
      <c r="A23" s="1030"/>
      <c r="B23" s="1030"/>
      <c r="C23" s="329"/>
      <c r="D23" s="1027" t="s">
        <v>1990</v>
      </c>
      <c r="E23" s="312" t="s">
        <v>1202</v>
      </c>
      <c r="F23" s="312" t="s">
        <v>1532</v>
      </c>
      <c r="J23" s="1030"/>
    </row>
    <row r="24" spans="1:10" ht="15.75" outlineLevel="1" thickBot="1">
      <c r="A24" s="1030"/>
      <c r="B24" s="1051" t="s">
        <v>430</v>
      </c>
      <c r="C24" s="1051" t="str">
        <f>IF(D24&gt;0,"ja","neen")</f>
        <v>neen</v>
      </c>
      <c r="D24" s="1052">
        <f>COUNTIF(D21:D23,"ja")/COUNTA(D21:D23)</f>
        <v>0</v>
      </c>
      <c r="E24" s="1053" t="s">
        <v>1202</v>
      </c>
      <c r="F24" s="1054" t="s">
        <v>1533</v>
      </c>
      <c r="G24" s="1055"/>
      <c r="H24" s="1055"/>
      <c r="I24" s="1058"/>
      <c r="J24" s="1030"/>
    </row>
    <row r="25" spans="1:10" ht="22.5" outlineLevel="2">
      <c r="A25" s="1030"/>
      <c r="B25" s="1030"/>
      <c r="C25" s="329"/>
      <c r="D25" s="1027" t="s">
        <v>1990</v>
      </c>
      <c r="E25" s="312" t="s">
        <v>1203</v>
      </c>
      <c r="F25" s="312" t="s">
        <v>1534</v>
      </c>
      <c r="G25" s="311" t="s">
        <v>1535</v>
      </c>
      <c r="J25" s="1030"/>
    </row>
    <row r="26" spans="1:10" ht="22.5" outlineLevel="2">
      <c r="A26" s="1030"/>
      <c r="B26" s="1030"/>
      <c r="C26" s="329"/>
      <c r="D26" s="1027" t="s">
        <v>1990</v>
      </c>
      <c r="E26" s="312" t="s">
        <v>1203</v>
      </c>
      <c r="F26" s="312" t="s">
        <v>1536</v>
      </c>
      <c r="G26" s="311" t="s">
        <v>1537</v>
      </c>
      <c r="J26" s="1030"/>
    </row>
    <row r="27" spans="1:10" ht="64.5" customHeight="1" outlineLevel="1" thickBot="1">
      <c r="A27" s="1030"/>
      <c r="B27" s="1051" t="s">
        <v>429</v>
      </c>
      <c r="C27" s="1051" t="str">
        <f>IF(D27&gt;0,"ja","neen")</f>
        <v>neen</v>
      </c>
      <c r="D27" s="1052">
        <f>COUNTIF(D25:D26,"ja")/COUNTA(D25:D26)</f>
        <v>0</v>
      </c>
      <c r="E27" s="1053" t="s">
        <v>1203</v>
      </c>
      <c r="F27" s="1054" t="s">
        <v>1538</v>
      </c>
      <c r="G27" s="1055"/>
      <c r="H27" s="1055"/>
      <c r="I27" s="1058"/>
      <c r="J27" s="1030"/>
    </row>
    <row r="28" spans="1:10" ht="22.5" outlineLevel="2">
      <c r="A28" s="1030"/>
      <c r="B28" s="1030"/>
      <c r="C28" s="329"/>
      <c r="D28" s="1027" t="s">
        <v>1990</v>
      </c>
      <c r="E28" s="312" t="s">
        <v>1204</v>
      </c>
      <c r="F28" s="312" t="s">
        <v>1539</v>
      </c>
      <c r="J28" s="1030"/>
    </row>
    <row r="29" spans="1:10" ht="29.25" customHeight="1" outlineLevel="2">
      <c r="A29" s="1030"/>
      <c r="B29" s="1030"/>
      <c r="C29" s="329"/>
      <c r="D29" s="1027" t="s">
        <v>1990</v>
      </c>
      <c r="E29" s="312" t="s">
        <v>1204</v>
      </c>
      <c r="F29" s="312" t="s">
        <v>1540</v>
      </c>
      <c r="G29" s="311" t="s">
        <v>1541</v>
      </c>
      <c r="J29" s="1030"/>
    </row>
    <row r="30" spans="1:10" ht="33.75" outlineLevel="2">
      <c r="A30" s="1030"/>
      <c r="B30" s="1030"/>
      <c r="C30" s="329"/>
      <c r="D30" s="1027" t="s">
        <v>1990</v>
      </c>
      <c r="E30" s="312" t="s">
        <v>1204</v>
      </c>
      <c r="F30" s="321" t="s">
        <v>1542</v>
      </c>
      <c r="G30" s="320" t="s">
        <v>1543</v>
      </c>
      <c r="J30" s="1030"/>
    </row>
    <row r="31" spans="1:10" ht="75.75" outlineLevel="1" thickBot="1">
      <c r="A31" s="1030"/>
      <c r="B31" s="1051" t="s">
        <v>428</v>
      </c>
      <c r="C31" s="1051" t="str">
        <f>IF(D31&gt;0,"ja","neen")</f>
        <v>neen</v>
      </c>
      <c r="D31" s="1052">
        <f>COUNTIF(D28:D30,"ja")/COUNTA(D28:D30)</f>
        <v>0</v>
      </c>
      <c r="E31" s="1053" t="s">
        <v>1204</v>
      </c>
      <c r="F31" s="1054" t="s">
        <v>1544</v>
      </c>
      <c r="G31" s="1055"/>
      <c r="H31" s="1055"/>
      <c r="I31" s="1058"/>
      <c r="J31" s="1030"/>
    </row>
    <row r="32" spans="1:10" ht="22.5" outlineLevel="2">
      <c r="A32" s="1030"/>
      <c r="B32" s="1030"/>
      <c r="C32" s="329"/>
      <c r="D32" s="1027" t="s">
        <v>1990</v>
      </c>
      <c r="E32" s="312" t="s">
        <v>1205</v>
      </c>
      <c r="F32" s="312" t="s">
        <v>1545</v>
      </c>
      <c r="G32" s="311" t="s">
        <v>1546</v>
      </c>
      <c r="I32" s="316"/>
      <c r="J32" s="1030"/>
    </row>
    <row r="33" spans="1:10" ht="56.25" outlineLevel="2">
      <c r="A33" s="1030"/>
      <c r="B33" s="1030"/>
      <c r="C33" s="329"/>
      <c r="D33" s="1027" t="s">
        <v>1990</v>
      </c>
      <c r="E33" s="312" t="s">
        <v>1205</v>
      </c>
      <c r="F33" s="312" t="s">
        <v>1547</v>
      </c>
      <c r="G33" s="319" t="s">
        <v>1548</v>
      </c>
      <c r="H33" s="314" t="s">
        <v>427</v>
      </c>
      <c r="I33" s="314" t="s">
        <v>426</v>
      </c>
      <c r="J33" s="1030"/>
    </row>
    <row r="34" spans="1:10" ht="33.75" outlineLevel="2">
      <c r="A34" s="1030"/>
      <c r="B34" s="1030"/>
      <c r="C34" s="329"/>
      <c r="D34" s="1027" t="s">
        <v>1990</v>
      </c>
      <c r="E34" s="312" t="s">
        <v>1205</v>
      </c>
      <c r="F34" s="312" t="s">
        <v>1549</v>
      </c>
      <c r="G34" s="311" t="s">
        <v>1550</v>
      </c>
      <c r="I34" s="316"/>
      <c r="J34" s="1030"/>
    </row>
    <row r="35" spans="1:10" ht="33.75" outlineLevel="2">
      <c r="A35" s="1030"/>
      <c r="B35" s="1030"/>
      <c r="C35" s="329"/>
      <c r="D35" s="1027" t="s">
        <v>1990</v>
      </c>
      <c r="E35" s="312" t="s">
        <v>1205</v>
      </c>
      <c r="F35" s="312" t="s">
        <v>1551</v>
      </c>
      <c r="G35" s="311" t="s">
        <v>1552</v>
      </c>
      <c r="H35" s="311" t="s">
        <v>425</v>
      </c>
      <c r="I35" s="314" t="s">
        <v>424</v>
      </c>
      <c r="J35" s="1030"/>
    </row>
    <row r="36" spans="1:10" ht="22.5" outlineLevel="2">
      <c r="A36" s="1030"/>
      <c r="B36" s="1030"/>
      <c r="C36" s="329"/>
      <c r="D36" s="1027" t="s">
        <v>1990</v>
      </c>
      <c r="E36" s="312" t="s">
        <v>1205</v>
      </c>
      <c r="F36" s="312" t="s">
        <v>1551</v>
      </c>
      <c r="H36" s="311" t="s">
        <v>425</v>
      </c>
      <c r="I36" s="314" t="s">
        <v>424</v>
      </c>
      <c r="J36" s="1030"/>
    </row>
    <row r="37" spans="1:10" ht="22.5" outlineLevel="2">
      <c r="A37" s="1030"/>
      <c r="B37" s="1030"/>
      <c r="C37" s="329"/>
      <c r="D37" s="1027" t="s">
        <v>1990</v>
      </c>
      <c r="E37" s="312" t="s">
        <v>1205</v>
      </c>
      <c r="F37" s="312" t="s">
        <v>1553</v>
      </c>
      <c r="G37" s="311" t="s">
        <v>1554</v>
      </c>
      <c r="J37" s="1030"/>
    </row>
    <row r="38" spans="1:10" ht="33.75" outlineLevel="2">
      <c r="A38" s="1030"/>
      <c r="B38" s="1030"/>
      <c r="C38" s="329"/>
      <c r="D38" s="1027" t="s">
        <v>1990</v>
      </c>
      <c r="E38" s="312" t="s">
        <v>1205</v>
      </c>
      <c r="F38" s="312" t="s">
        <v>1555</v>
      </c>
      <c r="G38" s="311" t="s">
        <v>1556</v>
      </c>
      <c r="J38" s="1030"/>
    </row>
    <row r="39" spans="1:10" ht="45" outlineLevel="2">
      <c r="A39" s="1030"/>
      <c r="B39" s="1030"/>
      <c r="C39" s="329"/>
      <c r="D39" s="1027" t="s">
        <v>1990</v>
      </c>
      <c r="E39" s="312" t="s">
        <v>1205</v>
      </c>
      <c r="F39" s="312" t="s">
        <v>1557</v>
      </c>
      <c r="G39" s="311" t="s">
        <v>1558</v>
      </c>
      <c r="H39" s="311" t="s">
        <v>423</v>
      </c>
      <c r="I39" s="315"/>
      <c r="J39" s="1030"/>
    </row>
    <row r="40" spans="1:10" ht="45.75" outlineLevel="1" thickBot="1">
      <c r="A40" s="1030"/>
      <c r="B40" s="1051" t="s">
        <v>422</v>
      </c>
      <c r="C40" s="1051" t="str">
        <f>IF(D40&gt;0,"ja","neen")</f>
        <v>neen</v>
      </c>
      <c r="D40" s="1052">
        <f>COUNTIF(D32:D39,"ja")/COUNTA(D32:D39)</f>
        <v>0</v>
      </c>
      <c r="E40" s="1053" t="s">
        <v>1205</v>
      </c>
      <c r="F40" s="1054" t="s">
        <v>1559</v>
      </c>
      <c r="G40" s="1055"/>
      <c r="H40" s="1055"/>
      <c r="I40" s="1059"/>
      <c r="J40" s="1030"/>
    </row>
    <row r="41" spans="1:10" outlineLevel="2">
      <c r="A41" s="1030"/>
      <c r="B41" s="1030"/>
      <c r="C41" s="329"/>
      <c r="D41" s="1027" t="s">
        <v>1990</v>
      </c>
      <c r="E41" s="312" t="s">
        <v>1206</v>
      </c>
      <c r="F41" s="312" t="s">
        <v>1560</v>
      </c>
      <c r="I41" s="316"/>
      <c r="J41" s="1030"/>
    </row>
    <row r="42" spans="1:10" ht="33.75" outlineLevel="2">
      <c r="A42" s="1030"/>
      <c r="B42" s="1030"/>
      <c r="C42" s="329"/>
      <c r="D42" s="1027" t="s">
        <v>1990</v>
      </c>
      <c r="E42" s="312" t="s">
        <v>1206</v>
      </c>
      <c r="F42" s="312" t="s">
        <v>1561</v>
      </c>
      <c r="G42" s="311" t="s">
        <v>1562</v>
      </c>
      <c r="I42" s="316"/>
      <c r="J42" s="1030"/>
    </row>
    <row r="43" spans="1:10" ht="60.75" outlineLevel="1" thickBot="1">
      <c r="A43" s="1030"/>
      <c r="B43" s="1051" t="s">
        <v>421</v>
      </c>
      <c r="C43" s="1051" t="str">
        <f>IF(D43&gt;0,"ja","neen")</f>
        <v>neen</v>
      </c>
      <c r="D43" s="1052">
        <f>COUNTIF(D41:D42,"ja")/COUNTA(D41:D42)</f>
        <v>0</v>
      </c>
      <c r="E43" s="1053" t="s">
        <v>1206</v>
      </c>
      <c r="F43" s="1054" t="s">
        <v>1687</v>
      </c>
      <c r="G43" s="1055"/>
      <c r="H43" s="1055"/>
      <c r="I43" s="1059"/>
      <c r="J43" s="1030"/>
    </row>
    <row r="44" spans="1:10" ht="90" outlineLevel="2">
      <c r="A44" s="1030"/>
      <c r="B44" s="1030"/>
      <c r="C44" s="329"/>
      <c r="D44" s="1027" t="s">
        <v>1990</v>
      </c>
      <c r="E44" s="312" t="s">
        <v>1207</v>
      </c>
      <c r="F44" s="312" t="s">
        <v>1563</v>
      </c>
      <c r="G44" s="319" t="s">
        <v>1565</v>
      </c>
      <c r="H44" s="311" t="s">
        <v>420</v>
      </c>
      <c r="I44" s="316"/>
      <c r="J44" s="1030"/>
    </row>
    <row r="45" spans="1:10" ht="90" outlineLevel="2">
      <c r="A45" s="1030"/>
      <c r="B45" s="1030"/>
      <c r="C45" s="329"/>
      <c r="D45" s="1027" t="s">
        <v>1990</v>
      </c>
      <c r="E45" s="312" t="s">
        <v>1207</v>
      </c>
      <c r="F45" s="312" t="s">
        <v>1564</v>
      </c>
      <c r="G45" s="1149" t="s">
        <v>419</v>
      </c>
      <c r="H45" s="316" t="s">
        <v>418</v>
      </c>
      <c r="J45" s="1030"/>
    </row>
    <row r="46" spans="1:10" ht="45.75" outlineLevel="1" thickBot="1">
      <c r="A46" s="1030"/>
      <c r="B46" s="1051" t="s">
        <v>417</v>
      </c>
      <c r="C46" s="1051" t="str">
        <f>IF(D46&gt;0,"ja","neen")</f>
        <v>neen</v>
      </c>
      <c r="D46" s="1052">
        <f>COUNTIF(D44:D45,"ja")/COUNTA(D44:D45)</f>
        <v>0</v>
      </c>
      <c r="E46" s="1053" t="s">
        <v>1207</v>
      </c>
      <c r="F46" s="1054" t="s">
        <v>1566</v>
      </c>
      <c r="G46" s="1055"/>
      <c r="H46" s="1055"/>
      <c r="I46" s="1059"/>
      <c r="J46" s="1030"/>
    </row>
    <row r="47" spans="1:10" ht="22.5" outlineLevel="2">
      <c r="A47" s="1030"/>
      <c r="B47" s="1030"/>
      <c r="C47" s="329"/>
      <c r="D47" s="1027" t="s">
        <v>1990</v>
      </c>
      <c r="E47" s="312" t="s">
        <v>1208</v>
      </c>
      <c r="F47" s="321" t="s">
        <v>1573</v>
      </c>
      <c r="G47" s="311" t="s">
        <v>1574</v>
      </c>
      <c r="J47" s="1030"/>
    </row>
    <row r="48" spans="1:10" ht="22.5" outlineLevel="2">
      <c r="A48" s="1030"/>
      <c r="B48" s="1030"/>
      <c r="C48" s="329"/>
      <c r="D48" s="1027" t="s">
        <v>1990</v>
      </c>
      <c r="E48" s="312" t="s">
        <v>1208</v>
      </c>
      <c r="F48" s="321" t="s">
        <v>1575</v>
      </c>
      <c r="G48" s="311" t="s">
        <v>1576</v>
      </c>
      <c r="J48" s="1030"/>
    </row>
    <row r="49" spans="1:10" ht="22.5" outlineLevel="2">
      <c r="A49" s="1030"/>
      <c r="B49" s="1030"/>
      <c r="C49" s="329"/>
      <c r="D49" s="1027" t="s">
        <v>1990</v>
      </c>
      <c r="E49" s="312" t="s">
        <v>1208</v>
      </c>
      <c r="F49" s="321" t="s">
        <v>1577</v>
      </c>
      <c r="G49" s="311" t="s">
        <v>1578</v>
      </c>
      <c r="H49" s="311" t="s">
        <v>416</v>
      </c>
      <c r="J49" s="1030"/>
    </row>
    <row r="50" spans="1:10" ht="30.75" outlineLevel="1" thickBot="1">
      <c r="A50" s="1030"/>
      <c r="B50" s="1056" t="s">
        <v>415</v>
      </c>
      <c r="C50" s="1051" t="str">
        <f>IF(D50&gt;0,"ja","neen")</f>
        <v>neen</v>
      </c>
      <c r="D50" s="1052">
        <f>COUNTIF(D47:D49,"ja")/COUNTA(D47:D49)</f>
        <v>0</v>
      </c>
      <c r="E50" s="1053" t="s">
        <v>1208</v>
      </c>
      <c r="F50" s="1054" t="s">
        <v>1579</v>
      </c>
      <c r="G50" s="1055"/>
      <c r="H50" s="1055"/>
      <c r="I50" s="1059"/>
      <c r="J50" s="1030"/>
    </row>
    <row r="51" spans="1:10" ht="180" outlineLevel="2">
      <c r="A51" s="1030"/>
      <c r="B51" s="1030"/>
      <c r="C51" s="329"/>
      <c r="D51" s="1027" t="s">
        <v>1990</v>
      </c>
      <c r="E51" s="312" t="s">
        <v>1209</v>
      </c>
      <c r="F51" s="312" t="s">
        <v>1567</v>
      </c>
      <c r="G51" s="311" t="s">
        <v>1568</v>
      </c>
      <c r="I51" s="316"/>
      <c r="J51" s="1030"/>
    </row>
    <row r="52" spans="1:10" ht="45.75" outlineLevel="1" thickBot="1">
      <c r="A52" s="1030"/>
      <c r="B52" s="1051" t="s">
        <v>414</v>
      </c>
      <c r="C52" s="1051" t="str">
        <f>IF(D52&gt;0,"ja","neen")</f>
        <v>neen</v>
      </c>
      <c r="D52" s="1052">
        <f>COUNTIF(D51:D51,"ja")/COUNTA(D51:D51)</f>
        <v>0</v>
      </c>
      <c r="E52" s="1053" t="s">
        <v>1209</v>
      </c>
      <c r="F52" s="312" t="s">
        <v>1567</v>
      </c>
      <c r="G52" s="1055"/>
      <c r="H52" s="1055"/>
      <c r="I52" s="1059"/>
      <c r="J52" s="1030"/>
    </row>
    <row r="53" spans="1:10" outlineLevel="2">
      <c r="A53" s="1030"/>
      <c r="B53" s="1030"/>
      <c r="C53" s="329"/>
      <c r="D53" s="1027" t="s">
        <v>1990</v>
      </c>
      <c r="E53" s="312" t="s">
        <v>1210</v>
      </c>
      <c r="F53" s="312" t="s">
        <v>1569</v>
      </c>
      <c r="J53" s="1030"/>
    </row>
    <row r="54" spans="1:10" ht="15.75" outlineLevel="1" thickBot="1">
      <c r="A54" s="1030"/>
      <c r="B54" s="1051" t="s">
        <v>413</v>
      </c>
      <c r="C54" s="1051" t="str">
        <f>IF(D54&gt;0,"ja","neen")</f>
        <v>neen</v>
      </c>
      <c r="D54" s="1052">
        <f>COUNTIF(D53,"ja")/COUNTA(D53)</f>
        <v>0</v>
      </c>
      <c r="E54" s="1053" t="s">
        <v>1210</v>
      </c>
      <c r="F54" s="312" t="s">
        <v>1570</v>
      </c>
      <c r="G54" s="1055"/>
      <c r="H54" s="1055"/>
      <c r="I54" s="1059"/>
      <c r="J54" s="1030"/>
    </row>
    <row r="55" spans="1:10" ht="22.5" outlineLevel="2">
      <c r="A55" s="1030"/>
      <c r="B55" s="1030"/>
      <c r="C55" s="329"/>
      <c r="D55" s="1027" t="s">
        <v>1990</v>
      </c>
      <c r="E55" s="312" t="s">
        <v>1211</v>
      </c>
      <c r="F55" s="312" t="s">
        <v>1571</v>
      </c>
      <c r="G55" s="319" t="s">
        <v>1572</v>
      </c>
      <c r="J55" s="1030"/>
    </row>
    <row r="56" spans="1:10" ht="56.25" outlineLevel="2">
      <c r="A56" s="1030"/>
      <c r="B56" s="1030"/>
      <c r="C56" s="329"/>
      <c r="D56" s="1027" t="s">
        <v>1990</v>
      </c>
      <c r="E56" s="312" t="s">
        <v>1211</v>
      </c>
      <c r="F56" s="321" t="s">
        <v>1655</v>
      </c>
      <c r="G56" s="1149" t="s">
        <v>1656</v>
      </c>
      <c r="J56" s="1030"/>
    </row>
    <row r="57" spans="1:10" ht="15.75" outlineLevel="1" thickBot="1">
      <c r="A57" s="1030"/>
      <c r="B57" s="1051" t="s">
        <v>412</v>
      </c>
      <c r="C57" s="1051" t="str">
        <f>IF(D57&gt;0,"ja","neen")</f>
        <v>neen</v>
      </c>
      <c r="D57" s="1052">
        <f>COUNTIF(D55:D56,"ja")/COUNTA(D55:D56)</f>
        <v>0</v>
      </c>
      <c r="E57" s="1053" t="s">
        <v>1211</v>
      </c>
      <c r="F57" s="1054" t="s">
        <v>1580</v>
      </c>
      <c r="G57" s="1055"/>
      <c r="H57" s="1055"/>
      <c r="I57" s="1055"/>
      <c r="J57" s="1030"/>
    </row>
    <row r="58" spans="1:10" outlineLevel="2">
      <c r="A58" s="1030"/>
      <c r="B58" s="1030"/>
      <c r="C58" s="329"/>
      <c r="D58" s="1027" t="s">
        <v>1990</v>
      </c>
      <c r="E58" s="312" t="s">
        <v>1195</v>
      </c>
      <c r="F58" s="312" t="s">
        <v>1581</v>
      </c>
      <c r="G58" s="311" t="s">
        <v>1582</v>
      </c>
      <c r="J58" s="1030"/>
    </row>
    <row r="59" spans="1:10" outlineLevel="2">
      <c r="A59" s="1030"/>
      <c r="B59" s="1030"/>
      <c r="C59" s="329"/>
      <c r="D59" s="1027" t="s">
        <v>1990</v>
      </c>
      <c r="E59" s="312" t="s">
        <v>1195</v>
      </c>
      <c r="F59" s="312" t="s">
        <v>1583</v>
      </c>
      <c r="G59" s="311" t="s">
        <v>1584</v>
      </c>
      <c r="J59" s="1030"/>
    </row>
    <row r="60" spans="1:10" ht="56.25" outlineLevel="2">
      <c r="A60" s="1030"/>
      <c r="B60" s="1030"/>
      <c r="C60" s="329"/>
      <c r="D60" s="1027" t="s">
        <v>1990</v>
      </c>
      <c r="E60" s="312" t="s">
        <v>1195</v>
      </c>
      <c r="F60" s="312" t="s">
        <v>1585</v>
      </c>
      <c r="G60" s="311" t="s">
        <v>1586</v>
      </c>
      <c r="H60" s="315" t="s">
        <v>396</v>
      </c>
      <c r="I60" s="311" t="s">
        <v>393</v>
      </c>
      <c r="J60" s="1030"/>
    </row>
    <row r="61" spans="1:10" ht="142.5" customHeight="1" outlineLevel="2">
      <c r="A61" s="1030"/>
      <c r="B61" s="1030"/>
      <c r="C61" s="329"/>
      <c r="D61" s="1027" t="s">
        <v>1990</v>
      </c>
      <c r="E61" s="312" t="s">
        <v>1195</v>
      </c>
      <c r="F61" s="312" t="s">
        <v>1589</v>
      </c>
      <c r="G61" s="318" t="s">
        <v>1590</v>
      </c>
      <c r="H61" s="311" t="s">
        <v>393</v>
      </c>
      <c r="J61" s="1030"/>
    </row>
    <row r="62" spans="1:10" ht="22.5" outlineLevel="2">
      <c r="A62" s="1030"/>
      <c r="B62" s="1030"/>
      <c r="C62" s="329"/>
      <c r="D62" s="1027" t="s">
        <v>1990</v>
      </c>
      <c r="E62" s="312" t="s">
        <v>1195</v>
      </c>
      <c r="F62" s="312" t="s">
        <v>1587</v>
      </c>
      <c r="G62" s="311" t="s">
        <v>1588</v>
      </c>
      <c r="J62" s="1030"/>
    </row>
    <row r="63" spans="1:10" ht="22.5" outlineLevel="2">
      <c r="A63" s="1030"/>
      <c r="B63" s="1030"/>
      <c r="C63" s="329"/>
      <c r="D63" s="1027" t="s">
        <v>1990</v>
      </c>
      <c r="E63" s="312" t="s">
        <v>1195</v>
      </c>
      <c r="F63" s="312" t="s">
        <v>1591</v>
      </c>
      <c r="G63" s="311" t="s">
        <v>1592</v>
      </c>
      <c r="J63" s="1030"/>
    </row>
    <row r="64" spans="1:10" ht="22.5" outlineLevel="2">
      <c r="A64" s="1030"/>
      <c r="B64" s="1030"/>
      <c r="C64" s="329"/>
      <c r="D64" s="1027" t="s">
        <v>1990</v>
      </c>
      <c r="E64" s="312" t="s">
        <v>1195</v>
      </c>
      <c r="F64" s="312" t="s">
        <v>1593</v>
      </c>
      <c r="G64" s="311" t="s">
        <v>1594</v>
      </c>
      <c r="J64" s="1030"/>
    </row>
    <row r="65" spans="1:10" ht="15.75" outlineLevel="1" thickBot="1">
      <c r="A65" s="1030"/>
      <c r="B65" s="1051" t="s">
        <v>411</v>
      </c>
      <c r="C65" s="1051" t="str">
        <f>IF(D65&gt;0,"ja","neen")</f>
        <v>neen</v>
      </c>
      <c r="D65" s="1052">
        <f>COUNTIF(D58:D64,"ja")/COUNTA(D58:D64)</f>
        <v>0</v>
      </c>
      <c r="E65" s="1053" t="s">
        <v>1195</v>
      </c>
      <c r="F65" s="1054" t="s">
        <v>1595</v>
      </c>
      <c r="G65" s="1055"/>
      <c r="H65" s="1055"/>
      <c r="I65" s="1059"/>
      <c r="J65" s="1030"/>
    </row>
    <row r="66" spans="1:10" ht="56.25" outlineLevel="2">
      <c r="A66" s="1030"/>
      <c r="B66" s="1030"/>
      <c r="C66" s="329"/>
      <c r="D66" s="1027" t="s">
        <v>1990</v>
      </c>
      <c r="E66" s="312" t="s">
        <v>1212</v>
      </c>
      <c r="F66" s="312" t="s">
        <v>1596</v>
      </c>
      <c r="G66" s="311" t="s">
        <v>1597</v>
      </c>
      <c r="H66" s="311" t="s">
        <v>408</v>
      </c>
      <c r="J66" s="1030"/>
    </row>
    <row r="67" spans="1:10" ht="33.75" outlineLevel="2">
      <c r="A67" s="1030"/>
      <c r="B67" s="1030"/>
      <c r="C67" s="329"/>
      <c r="D67" s="1027" t="s">
        <v>1990</v>
      </c>
      <c r="E67" s="312" t="s">
        <v>1212</v>
      </c>
      <c r="F67" s="312" t="s">
        <v>1598</v>
      </c>
      <c r="G67" s="311" t="s">
        <v>1599</v>
      </c>
      <c r="H67" s="311" t="s">
        <v>410</v>
      </c>
      <c r="J67" s="1030"/>
    </row>
    <row r="68" spans="1:10" ht="90" outlineLevel="2">
      <c r="A68" s="1030"/>
      <c r="B68" s="1030"/>
      <c r="C68" s="329"/>
      <c r="D68" s="1027" t="s">
        <v>1990</v>
      </c>
      <c r="E68" s="312" t="s">
        <v>1212</v>
      </c>
      <c r="F68" s="312" t="s">
        <v>1600</v>
      </c>
      <c r="G68" s="319" t="s">
        <v>1601</v>
      </c>
      <c r="H68" s="311" t="s">
        <v>409</v>
      </c>
      <c r="I68" s="311" t="s">
        <v>408</v>
      </c>
      <c r="J68" s="1030"/>
    </row>
    <row r="69" spans="1:10" ht="135" outlineLevel="2">
      <c r="A69" s="1030"/>
      <c r="B69" s="1030"/>
      <c r="C69" s="329"/>
      <c r="D69" s="1027" t="s">
        <v>1990</v>
      </c>
      <c r="E69" s="312" t="s">
        <v>1212</v>
      </c>
      <c r="F69" s="313" t="s">
        <v>407</v>
      </c>
      <c r="G69" s="311" t="s">
        <v>1602</v>
      </c>
      <c r="H69" s="311" t="s">
        <v>406</v>
      </c>
      <c r="J69" s="1030"/>
    </row>
    <row r="70" spans="1:10" ht="22.5" outlineLevel="2">
      <c r="A70" s="1030"/>
      <c r="B70" s="1030"/>
      <c r="C70" s="329"/>
      <c r="D70" s="1027" t="s">
        <v>1990</v>
      </c>
      <c r="E70" s="312" t="s">
        <v>1212</v>
      </c>
      <c r="F70" s="312" t="s">
        <v>1603</v>
      </c>
      <c r="G70" s="311" t="s">
        <v>1604</v>
      </c>
      <c r="J70" s="1030"/>
    </row>
    <row r="71" spans="1:10" ht="45.75" outlineLevel="1" thickBot="1">
      <c r="A71" s="1030"/>
      <c r="B71" s="1051" t="s">
        <v>405</v>
      </c>
      <c r="C71" s="1051" t="str">
        <f>IF(D71&gt;0,"ja","neen")</f>
        <v>neen</v>
      </c>
      <c r="D71" s="1052">
        <f>COUNTIF(D66:D70,"ja")/COUNTA(D66:D70)</f>
        <v>0</v>
      </c>
      <c r="E71" s="1053" t="s">
        <v>1212</v>
      </c>
      <c r="F71" s="1054" t="s">
        <v>1605</v>
      </c>
      <c r="G71" s="1055"/>
      <c r="H71" s="1055"/>
      <c r="I71" s="1059"/>
      <c r="J71" s="1030"/>
    </row>
    <row r="72" spans="1:10" ht="22.5" outlineLevel="2">
      <c r="A72" s="1030"/>
      <c r="B72" s="1030"/>
      <c r="C72" s="329"/>
      <c r="D72" s="1027" t="s">
        <v>1990</v>
      </c>
      <c r="E72" s="312" t="s">
        <v>1213</v>
      </c>
      <c r="F72" s="321" t="s">
        <v>1606</v>
      </c>
      <c r="G72" s="320" t="s">
        <v>1657</v>
      </c>
      <c r="J72" s="1030"/>
    </row>
    <row r="73" spans="1:10" ht="56.25" outlineLevel="2">
      <c r="A73" s="1030"/>
      <c r="B73" s="1030"/>
      <c r="C73" s="329"/>
      <c r="D73" s="1027" t="s">
        <v>1990</v>
      </c>
      <c r="E73" s="312" t="s">
        <v>1213</v>
      </c>
      <c r="F73" s="321" t="s">
        <v>1658</v>
      </c>
      <c r="G73" s="320" t="s">
        <v>1659</v>
      </c>
      <c r="H73" s="311" t="s">
        <v>396</v>
      </c>
      <c r="I73" s="311" t="s">
        <v>393</v>
      </c>
      <c r="J73" s="1030"/>
    </row>
    <row r="74" spans="1:10" ht="147" customHeight="1" outlineLevel="2">
      <c r="A74" s="1030"/>
      <c r="B74" s="1030"/>
      <c r="C74" s="329"/>
      <c r="D74" s="1027" t="s">
        <v>1990</v>
      </c>
      <c r="E74" s="312" t="s">
        <v>1213</v>
      </c>
      <c r="F74" s="321" t="s">
        <v>1661</v>
      </c>
      <c r="G74" s="1150" t="s">
        <v>1660</v>
      </c>
      <c r="H74" s="311" t="s">
        <v>393</v>
      </c>
      <c r="J74" s="1030"/>
    </row>
    <row r="75" spans="1:10" outlineLevel="2">
      <c r="A75" s="1030"/>
      <c r="B75" s="1030"/>
      <c r="C75" s="329"/>
      <c r="D75" s="1027" t="s">
        <v>1990</v>
      </c>
      <c r="E75" s="312" t="s">
        <v>1213</v>
      </c>
      <c r="F75" s="321" t="s">
        <v>1662</v>
      </c>
      <c r="G75" s="320"/>
      <c r="J75" s="1030"/>
    </row>
    <row r="76" spans="1:10" ht="22.5" outlineLevel="2">
      <c r="A76" s="1030"/>
      <c r="B76" s="1030"/>
      <c r="C76" s="329"/>
      <c r="D76" s="1027" t="s">
        <v>1990</v>
      </c>
      <c r="E76" s="312" t="s">
        <v>1213</v>
      </c>
      <c r="F76" s="321" t="s">
        <v>1591</v>
      </c>
      <c r="G76" s="320" t="s">
        <v>1663</v>
      </c>
      <c r="J76" s="1030"/>
    </row>
    <row r="77" spans="1:10" ht="22.5" outlineLevel="2">
      <c r="A77" s="1030"/>
      <c r="B77" s="1030"/>
      <c r="C77" s="329"/>
      <c r="D77" s="1027" t="s">
        <v>1990</v>
      </c>
      <c r="E77" s="312" t="s">
        <v>1213</v>
      </c>
      <c r="F77" s="321" t="s">
        <v>1664</v>
      </c>
      <c r="G77" s="320" t="s">
        <v>1665</v>
      </c>
      <c r="J77" s="1030"/>
    </row>
    <row r="78" spans="1:10" ht="30.75" outlineLevel="1" thickBot="1">
      <c r="A78" s="1030"/>
      <c r="B78" s="1051" t="s">
        <v>404</v>
      </c>
      <c r="C78" s="1051" t="str">
        <f>IF(D78&gt;0,"ja","neen")</f>
        <v>neen</v>
      </c>
      <c r="D78" s="1052">
        <f>COUNTIF(D72:D77,"ja")/COUNTA(D72:D77)</f>
        <v>0</v>
      </c>
      <c r="E78" s="1053" t="s">
        <v>1213</v>
      </c>
      <c r="F78" s="1054" t="s">
        <v>1666</v>
      </c>
      <c r="G78" s="1055"/>
      <c r="H78" s="1055"/>
      <c r="I78" s="1059"/>
      <c r="J78" s="1030"/>
    </row>
    <row r="79" spans="1:10" ht="38.25" customHeight="1" outlineLevel="2">
      <c r="A79" s="1030"/>
      <c r="B79" s="1030"/>
      <c r="C79" s="329"/>
      <c r="D79" s="1027" t="s">
        <v>1990</v>
      </c>
      <c r="E79" s="312" t="s">
        <v>1196</v>
      </c>
      <c r="F79" s="312" t="s">
        <v>1606</v>
      </c>
      <c r="G79" s="311" t="s">
        <v>1607</v>
      </c>
      <c r="J79" s="1030"/>
    </row>
    <row r="80" spans="1:10" ht="46.5" customHeight="1" outlineLevel="2">
      <c r="A80" s="1030"/>
      <c r="B80" s="1030"/>
      <c r="C80" s="329"/>
      <c r="D80" s="1027" t="s">
        <v>1990</v>
      </c>
      <c r="E80" s="312" t="s">
        <v>1196</v>
      </c>
      <c r="F80" s="312" t="s">
        <v>1608</v>
      </c>
      <c r="G80" s="311" t="s">
        <v>1609</v>
      </c>
      <c r="J80" s="1030"/>
    </row>
    <row r="81" spans="1:10" ht="111.75" customHeight="1" outlineLevel="2">
      <c r="A81" s="1030"/>
      <c r="B81" s="1030"/>
      <c r="C81" s="329"/>
      <c r="D81" s="1027" t="s">
        <v>1990</v>
      </c>
      <c r="E81" s="312" t="s">
        <v>1196</v>
      </c>
      <c r="F81" s="312" t="s">
        <v>1610</v>
      </c>
      <c r="G81" s="311" t="s">
        <v>1611</v>
      </c>
      <c r="H81" s="311" t="s">
        <v>393</v>
      </c>
      <c r="J81" s="1030"/>
    </row>
    <row r="82" spans="1:10" ht="45" outlineLevel="2">
      <c r="A82" s="1030"/>
      <c r="B82" s="1030"/>
      <c r="C82" s="329"/>
      <c r="D82" s="1027" t="s">
        <v>1990</v>
      </c>
      <c r="E82" s="312" t="s">
        <v>1196</v>
      </c>
      <c r="F82" s="312" t="s">
        <v>1612</v>
      </c>
      <c r="G82" s="311" t="s">
        <v>1613</v>
      </c>
      <c r="H82" s="314" t="s">
        <v>403</v>
      </c>
      <c r="I82" s="316" t="s">
        <v>402</v>
      </c>
      <c r="J82" s="1030"/>
    </row>
    <row r="83" spans="1:10" ht="33.75" outlineLevel="2">
      <c r="A83" s="1030"/>
      <c r="B83" s="1030"/>
      <c r="C83" s="329"/>
      <c r="D83" s="1027" t="s">
        <v>1990</v>
      </c>
      <c r="E83" s="312" t="s">
        <v>1196</v>
      </c>
      <c r="F83" s="312" t="s">
        <v>1614</v>
      </c>
      <c r="G83" s="317" t="s">
        <v>1615</v>
      </c>
      <c r="J83" s="1030"/>
    </row>
    <row r="84" spans="1:10" ht="78.75" outlineLevel="2">
      <c r="A84" s="1030"/>
      <c r="B84" s="1030"/>
      <c r="C84" s="329"/>
      <c r="D84" s="1027" t="s">
        <v>1990</v>
      </c>
      <c r="E84" s="312" t="s">
        <v>1196</v>
      </c>
      <c r="F84" s="321" t="s">
        <v>1616</v>
      </c>
      <c r="G84" s="320" t="s">
        <v>1617</v>
      </c>
      <c r="H84" s="311" t="s">
        <v>401</v>
      </c>
      <c r="J84" s="1030"/>
    </row>
    <row r="85" spans="1:10" ht="78.75" outlineLevel="2">
      <c r="A85" s="1030"/>
      <c r="B85" s="1030"/>
      <c r="C85" s="329"/>
      <c r="D85" s="1027" t="s">
        <v>1990</v>
      </c>
      <c r="E85" s="312" t="s">
        <v>1196</v>
      </c>
      <c r="F85" s="321" t="s">
        <v>1618</v>
      </c>
      <c r="G85" s="320" t="s">
        <v>1617</v>
      </c>
      <c r="H85" s="311" t="s">
        <v>401</v>
      </c>
      <c r="J85" s="1030"/>
    </row>
    <row r="86" spans="1:10" ht="33.75" outlineLevel="2">
      <c r="A86" s="1030"/>
      <c r="B86" s="1030"/>
      <c r="C86" s="329"/>
      <c r="D86" s="1027" t="s">
        <v>1990</v>
      </c>
      <c r="E86" s="312" t="s">
        <v>1196</v>
      </c>
      <c r="F86" s="321" t="s">
        <v>1619</v>
      </c>
      <c r="G86" s="320" t="s">
        <v>1620</v>
      </c>
      <c r="H86" s="311" t="s">
        <v>401</v>
      </c>
      <c r="J86" s="1030"/>
    </row>
    <row r="87" spans="1:10" ht="33.75" outlineLevel="2">
      <c r="A87" s="1030"/>
      <c r="B87" s="1030"/>
      <c r="C87" s="329"/>
      <c r="D87" s="1027" t="s">
        <v>1990</v>
      </c>
      <c r="E87" s="312" t="s">
        <v>1196</v>
      </c>
      <c r="F87" s="312" t="s">
        <v>1621</v>
      </c>
      <c r="G87" s="320" t="s">
        <v>1620</v>
      </c>
      <c r="H87" s="311" t="s">
        <v>401</v>
      </c>
      <c r="J87" s="1030"/>
    </row>
    <row r="88" spans="1:10" ht="33.75" outlineLevel="2">
      <c r="A88" s="1030"/>
      <c r="B88" s="1030"/>
      <c r="C88" s="329"/>
      <c r="D88" s="1027" t="s">
        <v>1990</v>
      </c>
      <c r="E88" s="312" t="s">
        <v>1196</v>
      </c>
      <c r="F88" s="312" t="s">
        <v>1622</v>
      </c>
      <c r="G88" s="320" t="s">
        <v>1620</v>
      </c>
      <c r="H88" s="311" t="s">
        <v>401</v>
      </c>
      <c r="J88" s="1030"/>
    </row>
    <row r="89" spans="1:10" ht="33.75" outlineLevel="2">
      <c r="A89" s="1030"/>
      <c r="B89" s="1030"/>
      <c r="C89" s="329"/>
      <c r="D89" s="1027" t="s">
        <v>1990</v>
      </c>
      <c r="E89" s="312" t="s">
        <v>1196</v>
      </c>
      <c r="F89" s="312" t="s">
        <v>1623</v>
      </c>
      <c r="G89" s="320" t="s">
        <v>1620</v>
      </c>
      <c r="H89" s="311" t="s">
        <v>401</v>
      </c>
      <c r="J89" s="1030"/>
    </row>
    <row r="90" spans="1:10" ht="33.75" outlineLevel="2">
      <c r="A90" s="1030"/>
      <c r="B90" s="1030"/>
      <c r="C90" s="329"/>
      <c r="D90" s="1027" t="s">
        <v>1990</v>
      </c>
      <c r="E90" s="312" t="s">
        <v>1196</v>
      </c>
      <c r="F90" s="312" t="s">
        <v>1624</v>
      </c>
      <c r="J90" s="1030"/>
    </row>
    <row r="91" spans="1:10" s="1057" customFormat="1" ht="15.75" outlineLevel="1" thickBot="1">
      <c r="A91" s="1030"/>
      <c r="B91" s="1051" t="s">
        <v>400</v>
      </c>
      <c r="C91" s="1051" t="str">
        <f>IF(D91&gt;0,"ja","neen")</f>
        <v>neen</v>
      </c>
      <c r="D91" s="1052">
        <f>COUNTIF(D79:D90,"ja")/COUNTA(D79:D90)</f>
        <v>0</v>
      </c>
      <c r="E91" s="1053" t="s">
        <v>1196</v>
      </c>
      <c r="F91" s="1054" t="s">
        <v>1625</v>
      </c>
      <c r="G91" s="1055"/>
      <c r="H91" s="1055"/>
      <c r="I91" s="1059"/>
      <c r="J91" s="1030"/>
    </row>
    <row r="92" spans="1:10" ht="45" outlineLevel="2">
      <c r="A92" s="1030"/>
      <c r="B92" s="1030"/>
      <c r="C92" s="329"/>
      <c r="D92" s="1027" t="s">
        <v>1990</v>
      </c>
      <c r="E92" s="312" t="s">
        <v>1214</v>
      </c>
      <c r="F92" s="312" t="s">
        <v>1626</v>
      </c>
      <c r="G92" s="311" t="s">
        <v>1627</v>
      </c>
      <c r="H92" s="311" t="s">
        <v>393</v>
      </c>
      <c r="J92" s="1030"/>
    </row>
    <row r="93" spans="1:10" ht="56.25" outlineLevel="2">
      <c r="A93" s="1030"/>
      <c r="B93" s="1030"/>
      <c r="C93" s="329"/>
      <c r="D93" s="1027" t="s">
        <v>1990</v>
      </c>
      <c r="E93" s="312" t="s">
        <v>1214</v>
      </c>
      <c r="F93" s="312" t="s">
        <v>1628</v>
      </c>
      <c r="G93" s="311" t="s">
        <v>1629</v>
      </c>
      <c r="J93" s="1030"/>
    </row>
    <row r="94" spans="1:10" ht="33.75" outlineLevel="2">
      <c r="A94" s="1030"/>
      <c r="B94" s="1030"/>
      <c r="C94" s="329"/>
      <c r="D94" s="1027" t="s">
        <v>1990</v>
      </c>
      <c r="E94" s="312" t="s">
        <v>1214</v>
      </c>
      <c r="F94" s="312" t="s">
        <v>1630</v>
      </c>
      <c r="G94" s="311" t="s">
        <v>1631</v>
      </c>
      <c r="H94" s="314" t="s">
        <v>399</v>
      </c>
      <c r="I94" s="316" t="s">
        <v>398</v>
      </c>
      <c r="J94" s="1030"/>
    </row>
    <row r="95" spans="1:10" ht="22.5" outlineLevel="2">
      <c r="A95" s="1030"/>
      <c r="B95" s="1030"/>
      <c r="C95" s="329"/>
      <c r="D95" s="1027" t="s">
        <v>1990</v>
      </c>
      <c r="E95" s="312" t="s">
        <v>1214</v>
      </c>
      <c r="F95" s="312" t="s">
        <v>1632</v>
      </c>
      <c r="G95" s="311" t="s">
        <v>1633</v>
      </c>
      <c r="J95" s="1030"/>
    </row>
    <row r="96" spans="1:10" ht="90" outlineLevel="2">
      <c r="A96" s="1030"/>
      <c r="B96" s="1030"/>
      <c r="C96" s="329"/>
      <c r="D96" s="1027" t="s">
        <v>1990</v>
      </c>
      <c r="E96" s="312" t="s">
        <v>1214</v>
      </c>
      <c r="F96" s="312" t="s">
        <v>1634</v>
      </c>
      <c r="G96" s="311" t="s">
        <v>1635</v>
      </c>
      <c r="J96" s="1030"/>
    </row>
    <row r="97" spans="1:10" outlineLevel="2">
      <c r="A97" s="1030"/>
      <c r="B97" s="1030"/>
      <c r="C97" s="329"/>
      <c r="D97" s="1027" t="s">
        <v>1990</v>
      </c>
      <c r="E97" s="312" t="s">
        <v>1214</v>
      </c>
      <c r="F97" s="312" t="s">
        <v>1636</v>
      </c>
      <c r="G97" s="311" t="s">
        <v>1637</v>
      </c>
      <c r="J97" s="1030"/>
    </row>
    <row r="98" spans="1:10" outlineLevel="2">
      <c r="A98" s="1030"/>
      <c r="B98" s="1030"/>
      <c r="C98" s="329"/>
      <c r="D98" s="1027" t="s">
        <v>1990</v>
      </c>
      <c r="E98" s="312" t="s">
        <v>1214</v>
      </c>
      <c r="F98" s="312" t="s">
        <v>1638</v>
      </c>
      <c r="G98" s="311" t="s">
        <v>1639</v>
      </c>
      <c r="J98" s="1030"/>
    </row>
    <row r="99" spans="1:10" ht="36" customHeight="1" outlineLevel="1" thickBot="1">
      <c r="A99" s="1030"/>
      <c r="B99" s="1051" t="s">
        <v>397</v>
      </c>
      <c r="C99" s="1051" t="str">
        <f>IF(D99&gt;0,"ja","neen")</f>
        <v>neen</v>
      </c>
      <c r="D99" s="1052">
        <f>COUNTIF(D92:D98,"ja")/COUNTA(D92:D98)</f>
        <v>0</v>
      </c>
      <c r="E99" s="1053" t="s">
        <v>1214</v>
      </c>
      <c r="F99" s="1054" t="s">
        <v>1640</v>
      </c>
      <c r="G99" s="1055"/>
      <c r="H99" s="1055"/>
      <c r="I99" s="1058"/>
      <c r="J99" s="1030"/>
    </row>
    <row r="100" spans="1:10" outlineLevel="2">
      <c r="A100" s="1030"/>
      <c r="B100" s="1030"/>
      <c r="C100" s="329"/>
      <c r="D100" s="1027" t="s">
        <v>1990</v>
      </c>
      <c r="E100" s="312" t="s">
        <v>1215</v>
      </c>
      <c r="F100" s="312" t="s">
        <v>1638</v>
      </c>
      <c r="G100" s="311" t="s">
        <v>1641</v>
      </c>
      <c r="J100" s="1030"/>
    </row>
    <row r="101" spans="1:10" ht="22.5" outlineLevel="2">
      <c r="A101" s="1030"/>
      <c r="B101" s="1030"/>
      <c r="C101" s="329"/>
      <c r="D101" s="1027" t="s">
        <v>1990</v>
      </c>
      <c r="E101" s="312" t="s">
        <v>1215</v>
      </c>
      <c r="F101" s="312" t="s">
        <v>1642</v>
      </c>
      <c r="G101" s="311" t="s">
        <v>1643</v>
      </c>
      <c r="J101" s="1030"/>
    </row>
    <row r="102" spans="1:10" ht="22.5" outlineLevel="2">
      <c r="A102" s="1030"/>
      <c r="B102" s="1030"/>
      <c r="C102" s="329"/>
      <c r="D102" s="1027" t="s">
        <v>1990</v>
      </c>
      <c r="E102" s="312" t="s">
        <v>1215</v>
      </c>
      <c r="F102" s="312" t="s">
        <v>1644</v>
      </c>
      <c r="G102" s="311" t="s">
        <v>1645</v>
      </c>
      <c r="J102" s="1030"/>
    </row>
    <row r="103" spans="1:10" outlineLevel="2">
      <c r="A103" s="1030"/>
      <c r="B103" s="1030"/>
      <c r="C103" s="329"/>
      <c r="D103" s="1027" t="s">
        <v>1990</v>
      </c>
      <c r="E103" s="312" t="s">
        <v>1215</v>
      </c>
      <c r="F103" s="312" t="s">
        <v>1636</v>
      </c>
      <c r="G103" s="311" t="s">
        <v>1646</v>
      </c>
      <c r="J103" s="1030"/>
    </row>
    <row r="104" spans="1:10" ht="22.5" outlineLevel="2">
      <c r="A104" s="1030"/>
      <c r="B104" s="1030"/>
      <c r="C104" s="329"/>
      <c r="D104" s="1027" t="s">
        <v>1990</v>
      </c>
      <c r="E104" s="312" t="s">
        <v>1215</v>
      </c>
      <c r="F104" s="312" t="s">
        <v>1647</v>
      </c>
      <c r="G104" s="311" t="s">
        <v>1648</v>
      </c>
      <c r="J104" s="1030"/>
    </row>
    <row r="105" spans="1:10" ht="90" outlineLevel="2">
      <c r="A105" s="1030"/>
      <c r="B105" s="1030"/>
      <c r="C105" s="329"/>
      <c r="D105" s="1027" t="s">
        <v>1990</v>
      </c>
      <c r="E105" s="312" t="s">
        <v>1215</v>
      </c>
      <c r="F105" s="312" t="s">
        <v>1634</v>
      </c>
      <c r="G105" s="311" t="s">
        <v>1635</v>
      </c>
      <c r="J105" s="1030"/>
    </row>
    <row r="106" spans="1:10" ht="56.25" outlineLevel="2">
      <c r="A106" s="1030"/>
      <c r="B106" s="1030"/>
      <c r="C106" s="329"/>
      <c r="D106" s="1027" t="s">
        <v>1990</v>
      </c>
      <c r="E106" s="312" t="s">
        <v>1215</v>
      </c>
      <c r="F106" s="312" t="s">
        <v>1649</v>
      </c>
      <c r="H106" s="315" t="s">
        <v>396</v>
      </c>
      <c r="I106" s="311" t="s">
        <v>393</v>
      </c>
      <c r="J106" s="1030"/>
    </row>
    <row r="107" spans="1:10" ht="30.75" outlineLevel="1" thickBot="1">
      <c r="A107" s="1030"/>
      <c r="B107" s="1051" t="s">
        <v>395</v>
      </c>
      <c r="C107" s="1051" t="str">
        <f>IF(D107&gt;0,"ja","neen")</f>
        <v>neen</v>
      </c>
      <c r="D107" s="1052">
        <f>COUNTIF(D100:D106,"ja")/COUNTA(D100:D106)</f>
        <v>0</v>
      </c>
      <c r="E107" s="1053" t="s">
        <v>1215</v>
      </c>
      <c r="F107" s="1054" t="s">
        <v>1650</v>
      </c>
      <c r="G107" s="1055"/>
      <c r="H107" s="1055"/>
      <c r="I107" s="1059"/>
      <c r="J107" s="1030"/>
    </row>
    <row r="108" spans="1:10" ht="56.25" outlineLevel="2">
      <c r="A108" s="1030"/>
      <c r="B108" s="1030"/>
      <c r="C108" s="329"/>
      <c r="D108" s="1027" t="s">
        <v>1990</v>
      </c>
      <c r="E108" s="312" t="s">
        <v>1216</v>
      </c>
      <c r="F108" s="312" t="s">
        <v>1651</v>
      </c>
      <c r="G108" s="311" t="s">
        <v>1652</v>
      </c>
      <c r="H108" s="314" t="s">
        <v>394</v>
      </c>
      <c r="I108" s="311" t="s">
        <v>393</v>
      </c>
      <c r="J108" s="1030"/>
    </row>
    <row r="109" spans="1:10" outlineLevel="2">
      <c r="A109" s="1030"/>
      <c r="B109" s="1030"/>
      <c r="C109" s="329"/>
      <c r="D109" s="1027" t="s">
        <v>1990</v>
      </c>
      <c r="E109" s="312" t="s">
        <v>1216</v>
      </c>
      <c r="F109" s="312" t="s">
        <v>1653</v>
      </c>
      <c r="J109" s="1030"/>
    </row>
    <row r="110" spans="1:10" ht="90" outlineLevel="2">
      <c r="A110" s="1030"/>
      <c r="B110" s="1030"/>
      <c r="C110" s="329"/>
      <c r="D110" s="1027" t="s">
        <v>1990</v>
      </c>
      <c r="E110" s="312" t="s">
        <v>1216</v>
      </c>
      <c r="F110" s="312" t="s">
        <v>1634</v>
      </c>
      <c r="G110" s="311" t="s">
        <v>1635</v>
      </c>
      <c r="J110" s="1030"/>
    </row>
    <row r="111" spans="1:10" ht="30.75" outlineLevel="1" thickBot="1">
      <c r="A111" s="1030"/>
      <c r="B111" s="1051" t="s">
        <v>392</v>
      </c>
      <c r="C111" s="1051" t="str">
        <f>IF(D111&gt;0,"ja","neen")</f>
        <v>neen</v>
      </c>
      <c r="D111" s="1052">
        <f>COUNTIF(D108:D110,"ja")/COUNTA(D108:D110)</f>
        <v>0</v>
      </c>
      <c r="E111" s="1053" t="s">
        <v>1216</v>
      </c>
      <c r="F111" s="1054" t="s">
        <v>1654</v>
      </c>
      <c r="G111" s="1055"/>
      <c r="H111" s="1055"/>
      <c r="I111" s="1059"/>
      <c r="J111" s="1030"/>
    </row>
    <row r="112" spans="1:10" ht="23.25" customHeight="1" outlineLevel="1">
      <c r="A112" s="1030"/>
      <c r="B112" s="1044"/>
      <c r="C112" s="1045"/>
      <c r="D112" s="1046"/>
      <c r="E112" s="1047"/>
      <c r="F112" s="1048"/>
      <c r="G112" s="1049"/>
      <c r="H112" s="1049"/>
      <c r="I112" s="1050"/>
      <c r="J112" s="1030"/>
    </row>
    <row r="113" spans="1:10">
      <c r="A113" s="1030"/>
      <c r="B113" s="1030"/>
      <c r="C113" s="1030"/>
      <c r="D113" s="1031"/>
      <c r="E113" s="1060" t="s">
        <v>951</v>
      </c>
      <c r="F113" s="1032"/>
      <c r="G113" s="1034"/>
      <c r="H113" s="1034"/>
      <c r="I113" s="1030"/>
      <c r="J113" s="1030"/>
    </row>
    <row r="114" spans="1:10">
      <c r="A114" s="1030"/>
      <c r="B114" s="1030"/>
      <c r="C114" s="1030"/>
      <c r="D114" s="1031"/>
      <c r="E114" s="1032"/>
      <c r="F114" s="1032"/>
      <c r="G114" s="1034"/>
      <c r="H114" s="1034"/>
      <c r="I114" s="1030"/>
      <c r="J114" s="1030"/>
    </row>
    <row r="115" spans="1:10">
      <c r="A115" s="1030"/>
      <c r="B115" s="1030"/>
      <c r="C115" s="1030"/>
      <c r="D115" s="1031"/>
      <c r="E115" s="1032"/>
      <c r="F115" s="1032"/>
      <c r="G115" s="1034"/>
      <c r="H115" s="1034"/>
      <c r="I115" s="1030"/>
      <c r="J115" s="1030"/>
    </row>
    <row r="116" spans="1:10" ht="12.75" thickBot="1">
      <c r="A116" s="1030"/>
      <c r="B116" s="1030"/>
      <c r="C116" s="1037"/>
      <c r="D116" s="1038" t="s">
        <v>391</v>
      </c>
      <c r="E116" s="1039"/>
      <c r="F116" s="1039"/>
      <c r="G116" s="1030"/>
      <c r="H116" s="1030"/>
      <c r="I116" s="1030"/>
      <c r="J116" s="1030"/>
    </row>
    <row r="117" spans="1:10" ht="12">
      <c r="A117" s="1030"/>
      <c r="B117" s="1030"/>
      <c r="C117" s="1037"/>
      <c r="D117" s="1040">
        <f>1*D11</f>
        <v>0</v>
      </c>
      <c r="E117" s="1039" t="s">
        <v>1706</v>
      </c>
      <c r="F117" s="1041" t="s">
        <v>390</v>
      </c>
      <c r="G117" s="1030"/>
      <c r="H117" s="1030"/>
      <c r="I117" s="1030"/>
      <c r="J117" s="1030"/>
    </row>
    <row r="118" spans="1:10" ht="12">
      <c r="A118" s="1030"/>
      <c r="B118" s="1030"/>
      <c r="C118" s="1037"/>
      <c r="D118" s="1042">
        <f>1*AVERAGE(D27,D31)</f>
        <v>0</v>
      </c>
      <c r="E118" s="1039" t="s">
        <v>1707</v>
      </c>
      <c r="F118" s="1041" t="s">
        <v>389</v>
      </c>
      <c r="G118" s="1030"/>
      <c r="H118" s="1030"/>
      <c r="I118" s="1030"/>
      <c r="J118" s="1030"/>
    </row>
    <row r="119" spans="1:10" ht="12">
      <c r="A119" s="1030"/>
      <c r="B119" s="1030"/>
      <c r="C119" s="1037"/>
      <c r="D119" s="1042">
        <f>1*AVERAGE(D20,D24,D40,D46,D52,D54,D57,D65,D71,D78,D99,D107,D111)</f>
        <v>0</v>
      </c>
      <c r="E119" s="1039" t="s">
        <v>1708</v>
      </c>
      <c r="F119" s="1041" t="s">
        <v>1709</v>
      </c>
      <c r="G119" s="1030"/>
      <c r="H119" s="1030"/>
      <c r="I119" s="1030"/>
      <c r="J119" s="1030"/>
    </row>
    <row r="120" spans="1:10" ht="12">
      <c r="A120" s="1030"/>
      <c r="B120" s="1030"/>
      <c r="C120" s="1037"/>
      <c r="D120" s="1042">
        <f>1*AVERAGE(D43,D50,D91)</f>
        <v>0</v>
      </c>
      <c r="E120" s="1039" t="s">
        <v>1710</v>
      </c>
      <c r="F120" s="1041" t="s">
        <v>388</v>
      </c>
      <c r="G120" s="1030"/>
      <c r="H120" s="1030"/>
      <c r="I120" s="1030"/>
      <c r="J120" s="1030"/>
    </row>
    <row r="121" spans="1:10" ht="12.75" thickBot="1">
      <c r="A121" s="1030"/>
      <c r="B121" s="1030"/>
      <c r="C121" s="1037"/>
      <c r="D121" s="1043" t="str">
        <f>IF(SUM(D117:D120)=0,"0",SUM(D117:D120))</f>
        <v>0</v>
      </c>
      <c r="E121" s="1041"/>
      <c r="F121" s="1041"/>
      <c r="G121" s="1030"/>
      <c r="H121" s="1030"/>
      <c r="I121" s="1030"/>
      <c r="J121" s="1030"/>
    </row>
    <row r="122" spans="1:10">
      <c r="A122" s="1030"/>
      <c r="B122" s="1030"/>
      <c r="C122" s="1030"/>
      <c r="D122" s="1031"/>
      <c r="E122" s="1032"/>
      <c r="F122" s="1032"/>
      <c r="G122" s="1034"/>
      <c r="H122" s="1034"/>
      <c r="I122" s="1030"/>
      <c r="J122" s="1030"/>
    </row>
    <row r="123" spans="1:10">
      <c r="A123" s="1030"/>
      <c r="B123" s="1030"/>
      <c r="C123" s="1030"/>
      <c r="D123" s="1031"/>
      <c r="E123" s="1032"/>
      <c r="F123" s="1032"/>
      <c r="G123" s="1034"/>
      <c r="H123" s="1034"/>
      <c r="I123" s="1030"/>
      <c r="J123" s="1030"/>
    </row>
  </sheetData>
  <mergeCells count="1">
    <mergeCell ref="D4:J4"/>
  </mergeCells>
  <dataValidations count="1">
    <dataValidation type="list" allowBlank="1" showInputMessage="1" showErrorMessage="1" sqref="D7:D10 D12:D19 D21:D23 D25:D26 D28:D30 D32:D39 D41:D42 D44:D45 D47:D49 D51 D53 D55:D56 D58:D64 D66:D70 D72:D77 D79:D90 D92:D98 D100:D106 D108:D110">
      <formula1>"Ja,Neen"</formula1>
    </dataValidation>
  </dataValidations>
  <hyperlinks>
    <hyperlink ref="H8" r:id="rId1" display="http://www.mobilit.fgov.be/data/mobil/BEST_PRACTICES_FR.pdf"/>
    <hyperlink ref="H82" r:id="rId2"/>
    <hyperlink ref="I82" r:id="rId3" display="www.lifecycle.cc"/>
    <hyperlink ref="H94" r:id="rId4"/>
    <hyperlink ref="I94" r:id="rId5"/>
    <hyperlink ref="H45" r:id="rId6"/>
    <hyperlink ref="H10" r:id="rId7"/>
    <hyperlink ref="H7" r:id="rId8"/>
    <hyperlink ref="I10" r:id="rId9"/>
    <hyperlink ref="H33" r:id="rId10"/>
    <hyperlink ref="I33" r:id="rId11"/>
    <hyperlink ref="H9" r:id="rId12"/>
    <hyperlink ref="H13" r:id="rId13"/>
    <hyperlink ref="H12" r:id="rId14"/>
    <hyperlink ref="H19" r:id="rId15"/>
    <hyperlink ref="H108" r:id="rId16"/>
    <hyperlink ref="H60" r:id="rId17"/>
    <hyperlink ref="H106" r:id="rId18"/>
  </hyperlinks>
  <printOptions headings="1" gridLines="1"/>
  <pageMargins left="0.78740157480314965" right="0.78740157480314965" top="0.98425196850393704" bottom="0.98425196850393704" header="0.51181102362204722" footer="0.51181102362204722"/>
  <pageSetup paperSize="9" scale="66" fitToHeight="0" orientation="landscape" r:id="rId19"/>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enableFormatConditionsCalculation="0">
    <pageSetUpPr fitToPage="1"/>
  </sheetPr>
  <dimension ref="A1:W313"/>
  <sheetViews>
    <sheetView showZeros="0" topLeftCell="B1" zoomScaleNormal="100" workbookViewId="0">
      <pane ySplit="7" topLeftCell="A8" activePane="bottomLeft" state="frozen"/>
      <selection activeCell="E35" sqref="E35"/>
      <selection pane="bottomLeft" activeCell="D42" sqref="D42"/>
    </sheetView>
  </sheetViews>
  <sheetFormatPr defaultColWidth="11.42578125" defaultRowHeight="12" outlineLevelRow="1"/>
  <cols>
    <col min="1" max="1" width="8" style="180" customWidth="1"/>
    <col min="2" max="2" width="13.5703125" style="180" customWidth="1"/>
    <col min="3" max="3" width="6.42578125" style="181" customWidth="1"/>
    <col min="4" max="4" width="7.140625" style="328" customWidth="1"/>
    <col min="5" max="5" width="29.42578125" style="328" customWidth="1"/>
    <col min="6" max="6" width="46.42578125" style="328" customWidth="1"/>
    <col min="7" max="7" width="91.85546875" style="180" customWidth="1"/>
    <col min="8" max="8" width="51.7109375" style="838" customWidth="1"/>
    <col min="9" max="9" width="39.7109375" style="838" customWidth="1"/>
    <col min="10" max="10" width="11.42578125" style="838"/>
    <col min="11" max="16384" width="11.42578125" style="180"/>
  </cols>
  <sheetData>
    <row r="1" spans="1:23" ht="18.75" customHeight="1">
      <c r="A1" s="989"/>
      <c r="B1" s="989"/>
      <c r="C1" s="1029"/>
      <c r="D1" s="1033"/>
      <c r="E1" s="1033"/>
      <c r="F1" s="1033"/>
      <c r="G1" s="989"/>
      <c r="H1" s="1036"/>
      <c r="I1" s="1036"/>
      <c r="J1" s="1036"/>
      <c r="K1" s="989"/>
      <c r="L1" s="989"/>
      <c r="M1" s="989"/>
      <c r="N1" s="989"/>
      <c r="O1" s="989"/>
    </row>
    <row r="2" spans="1:23" ht="20.25">
      <c r="A2" s="989"/>
      <c r="B2" s="989"/>
      <c r="C2" s="1023" t="s">
        <v>1711</v>
      </c>
      <c r="D2" s="1024"/>
      <c r="E2" s="1024"/>
      <c r="F2" s="1024"/>
      <c r="G2" s="989"/>
      <c r="H2" s="1036"/>
      <c r="I2" s="1036"/>
      <c r="J2" s="1036"/>
      <c r="K2" s="989"/>
      <c r="L2" s="989"/>
      <c r="M2" s="989"/>
      <c r="N2" s="989"/>
      <c r="O2" s="989"/>
    </row>
    <row r="3" spans="1:23">
      <c r="A3" s="989"/>
      <c r="B3" s="989"/>
      <c r="C3" s="1029"/>
      <c r="D3" s="1033"/>
      <c r="E3" s="1033"/>
      <c r="F3" s="1033"/>
      <c r="G3" s="989"/>
      <c r="H3" s="1036"/>
      <c r="I3" s="1036"/>
      <c r="J3" s="1036"/>
      <c r="K3" s="989"/>
      <c r="L3" s="989"/>
      <c r="M3" s="989"/>
      <c r="N3" s="989"/>
      <c r="O3" s="989"/>
    </row>
    <row r="4" spans="1:23" ht="27">
      <c r="A4" s="989"/>
      <c r="B4" s="989"/>
      <c r="C4" s="1537" t="s">
        <v>1712</v>
      </c>
      <c r="D4" s="1537"/>
      <c r="E4" s="1537"/>
      <c r="F4" s="1537"/>
      <c r="G4" s="1537"/>
      <c r="H4" s="1537"/>
      <c r="I4" s="1537"/>
      <c r="J4" s="1537"/>
      <c r="K4" s="1022"/>
      <c r="L4" s="1022"/>
      <c r="M4" s="1022"/>
      <c r="N4" s="1022"/>
      <c r="O4" s="989"/>
    </row>
    <row r="5" spans="1:23" ht="15" customHeight="1">
      <c r="A5" s="989"/>
      <c r="B5" s="989"/>
      <c r="C5" s="1063"/>
      <c r="D5" s="1063"/>
      <c r="E5" s="1063"/>
      <c r="F5" s="1063"/>
      <c r="G5" s="1063"/>
      <c r="H5" s="1063"/>
      <c r="I5" s="1063"/>
      <c r="J5" s="1063"/>
      <c r="K5" s="989"/>
      <c r="L5" s="989"/>
      <c r="M5" s="989"/>
      <c r="N5" s="989"/>
      <c r="O5" s="989"/>
    </row>
    <row r="6" spans="1:23" ht="15.75">
      <c r="A6" s="989"/>
      <c r="B6" s="989"/>
      <c r="C6" s="1026" t="s">
        <v>1200</v>
      </c>
      <c r="D6" s="1061"/>
      <c r="E6" s="1061"/>
      <c r="F6" s="1061"/>
      <c r="G6" s="989"/>
      <c r="H6" s="1036"/>
      <c r="I6" s="1036"/>
      <c r="J6" s="1036"/>
      <c r="K6" s="989"/>
      <c r="L6" s="989"/>
      <c r="M6" s="989"/>
      <c r="N6" s="989"/>
      <c r="O6" s="989"/>
    </row>
    <row r="7" spans="1:23" ht="22.5">
      <c r="A7" s="989"/>
      <c r="B7" s="326" t="s">
        <v>458</v>
      </c>
      <c r="C7" s="326" t="s">
        <v>1713</v>
      </c>
      <c r="D7" s="326" t="s">
        <v>1714</v>
      </c>
      <c r="E7" s="326" t="s">
        <v>440</v>
      </c>
      <c r="F7" s="326" t="s">
        <v>1715</v>
      </c>
      <c r="G7" s="325" t="s">
        <v>1716</v>
      </c>
      <c r="H7" s="325" t="s">
        <v>1717</v>
      </c>
      <c r="I7" s="325" t="s">
        <v>1718</v>
      </c>
      <c r="J7" s="323"/>
      <c r="L7" s="323"/>
      <c r="M7" s="323"/>
      <c r="N7" s="323"/>
      <c r="O7" s="1035"/>
      <c r="P7" s="323"/>
      <c r="Q7" s="323"/>
      <c r="R7" s="323"/>
      <c r="S7" s="323"/>
      <c r="T7" s="323"/>
      <c r="U7" s="323"/>
      <c r="V7" s="323"/>
      <c r="W7" s="323"/>
    </row>
    <row r="8" spans="1:23" ht="22.5" outlineLevel="1">
      <c r="A8" s="989"/>
      <c r="B8" s="989"/>
      <c r="C8" s="329"/>
      <c r="D8" s="1062" t="s">
        <v>1990</v>
      </c>
      <c r="E8" s="321" t="s">
        <v>1667</v>
      </c>
      <c r="F8" s="321" t="s">
        <v>1668</v>
      </c>
      <c r="G8" s="320" t="s">
        <v>1222</v>
      </c>
      <c r="H8" s="315" t="s">
        <v>439</v>
      </c>
      <c r="I8" s="322" t="s">
        <v>437</v>
      </c>
      <c r="J8" s="316" t="s">
        <v>457</v>
      </c>
      <c r="L8" s="191"/>
      <c r="M8" s="191"/>
      <c r="N8" s="191"/>
      <c r="O8" s="1030"/>
      <c r="P8" s="191"/>
      <c r="Q8" s="191"/>
      <c r="R8" s="191"/>
      <c r="S8" s="191"/>
      <c r="T8" s="191"/>
      <c r="U8" s="191"/>
      <c r="V8" s="191"/>
      <c r="W8" s="191"/>
    </row>
    <row r="9" spans="1:23" ht="22.5" outlineLevel="1">
      <c r="A9" s="989"/>
      <c r="B9" s="989"/>
      <c r="C9" s="329"/>
      <c r="D9" s="1062" t="s">
        <v>1990</v>
      </c>
      <c r="E9" s="321" t="s">
        <v>1667</v>
      </c>
      <c r="F9" s="321" t="s">
        <v>1218</v>
      </c>
      <c r="G9" s="320" t="s">
        <v>1221</v>
      </c>
      <c r="H9" s="322" t="s">
        <v>437</v>
      </c>
      <c r="I9" s="191"/>
      <c r="J9" s="191"/>
      <c r="L9" s="191"/>
      <c r="M9" s="191"/>
      <c r="N9" s="191"/>
      <c r="O9" s="1030"/>
      <c r="P9" s="191"/>
      <c r="Q9" s="191"/>
      <c r="R9" s="191"/>
      <c r="S9" s="191"/>
      <c r="T9" s="191"/>
      <c r="U9" s="191"/>
      <c r="V9" s="191"/>
      <c r="W9" s="191"/>
    </row>
    <row r="10" spans="1:23" ht="22.5" outlineLevel="1">
      <c r="A10" s="989"/>
      <c r="B10" s="989"/>
      <c r="C10" s="329"/>
      <c r="D10" s="1062" t="s">
        <v>1990</v>
      </c>
      <c r="E10" s="321" t="s">
        <v>1667</v>
      </c>
      <c r="F10" s="321" t="s">
        <v>1219</v>
      </c>
      <c r="G10" s="320" t="s">
        <v>1669</v>
      </c>
      <c r="H10" s="314" t="s">
        <v>436</v>
      </c>
      <c r="I10" s="316"/>
      <c r="J10" s="191"/>
      <c r="L10" s="191"/>
      <c r="M10" s="191"/>
      <c r="N10" s="191"/>
      <c r="O10" s="1030"/>
      <c r="P10" s="191"/>
      <c r="Q10" s="191"/>
      <c r="R10" s="191"/>
      <c r="S10" s="191"/>
      <c r="T10" s="191"/>
      <c r="U10" s="191"/>
      <c r="V10" s="191"/>
      <c r="W10" s="191"/>
    </row>
    <row r="11" spans="1:23" ht="22.5" outlineLevel="1">
      <c r="A11" s="989"/>
      <c r="B11" s="989"/>
      <c r="C11" s="329"/>
      <c r="D11" s="1062" t="s">
        <v>1990</v>
      </c>
      <c r="E11" s="321" t="s">
        <v>1667</v>
      </c>
      <c r="F11" s="321" t="s">
        <v>1670</v>
      </c>
      <c r="G11" s="320" t="s">
        <v>1671</v>
      </c>
      <c r="H11" s="316" t="s">
        <v>456</v>
      </c>
      <c r="I11" s="191"/>
      <c r="J11" s="191"/>
      <c r="L11" s="191"/>
      <c r="M11" s="191"/>
      <c r="N11" s="191"/>
      <c r="O11" s="1030"/>
      <c r="P11" s="191"/>
      <c r="Q11" s="191"/>
      <c r="R11" s="191"/>
      <c r="S11" s="191"/>
      <c r="T11" s="191"/>
      <c r="U11" s="191"/>
      <c r="V11" s="191"/>
      <c r="W11" s="191"/>
    </row>
    <row r="12" spans="1:23" s="181" customFormat="1" ht="45.75" customHeight="1" thickBot="1">
      <c r="A12" s="1029"/>
      <c r="B12" s="1051"/>
      <c r="C12" s="1051"/>
      <c r="D12" s="1052"/>
      <c r="E12" s="1053"/>
      <c r="F12" s="1054"/>
      <c r="G12" s="1066"/>
      <c r="H12" s="1066"/>
      <c r="I12" s="1067"/>
      <c r="J12" s="1068"/>
      <c r="K12" s="1022"/>
      <c r="L12" s="1070"/>
      <c r="M12" s="1070"/>
      <c r="N12" s="1070"/>
      <c r="O12" s="1035"/>
      <c r="P12" s="323"/>
      <c r="Q12" s="323"/>
      <c r="R12" s="323"/>
      <c r="S12" s="323"/>
      <c r="T12" s="323"/>
      <c r="U12" s="323"/>
      <c r="V12" s="323"/>
      <c r="W12" s="323"/>
    </row>
    <row r="13" spans="1:23" ht="33.75" outlineLevel="1">
      <c r="A13" s="989"/>
      <c r="B13" s="989"/>
      <c r="C13" s="329"/>
      <c r="D13" s="1062" t="s">
        <v>1990</v>
      </c>
      <c r="E13" s="321" t="s">
        <v>1201</v>
      </c>
      <c r="F13" s="321" t="s">
        <v>1514</v>
      </c>
      <c r="G13" s="320" t="s">
        <v>1515</v>
      </c>
      <c r="H13" s="315" t="s">
        <v>433</v>
      </c>
      <c r="I13" s="316"/>
      <c r="J13" s="191"/>
      <c r="K13" s="191"/>
      <c r="L13" s="191"/>
      <c r="M13" s="191"/>
      <c r="N13" s="191"/>
      <c r="O13" s="1030"/>
      <c r="P13" s="191"/>
      <c r="Q13" s="191"/>
      <c r="R13" s="191"/>
      <c r="S13" s="191"/>
      <c r="T13" s="191"/>
      <c r="U13" s="191"/>
      <c r="V13" s="191"/>
      <c r="W13" s="191"/>
    </row>
    <row r="14" spans="1:23" ht="22.5" outlineLevel="1">
      <c r="A14" s="989"/>
      <c r="B14" s="989"/>
      <c r="C14" s="329"/>
      <c r="D14" s="1062" t="s">
        <v>1990</v>
      </c>
      <c r="E14" s="321" t="s">
        <v>1201</v>
      </c>
      <c r="F14" s="321" t="s">
        <v>1516</v>
      </c>
      <c r="G14" s="320" t="s">
        <v>1517</v>
      </c>
      <c r="H14" s="322" t="s">
        <v>432</v>
      </c>
      <c r="I14" s="191"/>
      <c r="J14" s="191"/>
      <c r="K14" s="191"/>
      <c r="L14" s="191"/>
      <c r="M14" s="191"/>
      <c r="N14" s="191"/>
      <c r="O14" s="1030"/>
      <c r="P14" s="191"/>
      <c r="Q14" s="191"/>
      <c r="R14" s="191"/>
      <c r="S14" s="191"/>
      <c r="T14" s="191"/>
      <c r="U14" s="191"/>
      <c r="V14" s="191"/>
      <c r="W14" s="191"/>
    </row>
    <row r="15" spans="1:23" ht="45" outlineLevel="1">
      <c r="A15" s="989"/>
      <c r="B15" s="989"/>
      <c r="C15" s="329"/>
      <c r="D15" s="1062" t="s">
        <v>1990</v>
      </c>
      <c r="E15" s="321" t="s">
        <v>1201</v>
      </c>
      <c r="F15" s="321" t="s">
        <v>1518</v>
      </c>
      <c r="G15" s="320" t="s">
        <v>1519</v>
      </c>
      <c r="H15" s="311"/>
      <c r="I15" s="191"/>
      <c r="J15" s="191"/>
      <c r="K15" s="191"/>
      <c r="L15" s="191"/>
      <c r="M15" s="191"/>
      <c r="N15" s="191"/>
      <c r="O15" s="1030"/>
      <c r="P15" s="191"/>
      <c r="Q15" s="191"/>
      <c r="R15" s="191"/>
      <c r="S15" s="191"/>
      <c r="T15" s="191"/>
      <c r="U15" s="191"/>
      <c r="V15" s="191"/>
      <c r="W15" s="191"/>
    </row>
    <row r="16" spans="1:23" ht="22.5" outlineLevel="1">
      <c r="A16" s="989"/>
      <c r="B16" s="989"/>
      <c r="C16" s="329"/>
      <c r="D16" s="1062" t="s">
        <v>1990</v>
      </c>
      <c r="E16" s="321" t="s">
        <v>1201</v>
      </c>
      <c r="F16" s="321" t="s">
        <v>1520</v>
      </c>
      <c r="G16" s="320" t="s">
        <v>1521</v>
      </c>
      <c r="H16" s="311"/>
      <c r="I16" s="191"/>
      <c r="J16" s="191"/>
      <c r="K16" s="191"/>
      <c r="L16" s="191"/>
      <c r="M16" s="191"/>
      <c r="N16" s="191"/>
      <c r="O16" s="1030"/>
      <c r="P16" s="191"/>
      <c r="Q16" s="191"/>
      <c r="R16" s="191"/>
      <c r="S16" s="191"/>
      <c r="T16" s="191"/>
      <c r="U16" s="191"/>
      <c r="V16" s="191"/>
      <c r="W16" s="191"/>
    </row>
    <row r="17" spans="1:23" ht="22.5" outlineLevel="1">
      <c r="A17" s="989"/>
      <c r="B17" s="989"/>
      <c r="C17" s="329"/>
      <c r="D17" s="1062" t="s">
        <v>1990</v>
      </c>
      <c r="E17" s="321" t="s">
        <v>1201</v>
      </c>
      <c r="F17" s="321" t="s">
        <v>1522</v>
      </c>
      <c r="G17" s="320" t="s">
        <v>1523</v>
      </c>
      <c r="H17" s="311"/>
      <c r="I17" s="191"/>
      <c r="J17" s="191"/>
      <c r="K17" s="191"/>
      <c r="L17" s="191"/>
      <c r="M17" s="191"/>
      <c r="N17" s="191"/>
      <c r="O17" s="1030"/>
      <c r="P17" s="191"/>
      <c r="Q17" s="191"/>
      <c r="R17" s="191"/>
      <c r="S17" s="191"/>
      <c r="T17" s="191"/>
      <c r="U17" s="191"/>
      <c r="V17" s="191"/>
      <c r="W17" s="191"/>
    </row>
    <row r="18" spans="1:23" outlineLevel="1">
      <c r="A18" s="989"/>
      <c r="B18" s="989"/>
      <c r="C18" s="329"/>
      <c r="D18" s="1062" t="s">
        <v>1990</v>
      </c>
      <c r="E18" s="321" t="s">
        <v>1201</v>
      </c>
      <c r="F18" s="321" t="s">
        <v>1525</v>
      </c>
      <c r="G18" s="320" t="s">
        <v>1672</v>
      </c>
      <c r="H18" s="311"/>
      <c r="I18" s="191"/>
      <c r="J18" s="191"/>
      <c r="K18" s="191"/>
      <c r="L18" s="191"/>
      <c r="M18" s="191"/>
      <c r="N18" s="191"/>
      <c r="O18" s="1030"/>
      <c r="P18" s="191"/>
      <c r="Q18" s="191"/>
      <c r="R18" s="191"/>
      <c r="S18" s="191"/>
      <c r="T18" s="191"/>
      <c r="U18" s="191"/>
      <c r="V18" s="191"/>
      <c r="W18" s="191"/>
    </row>
    <row r="19" spans="1:23" s="181" customFormat="1" ht="45.75" customHeight="1" thickBot="1">
      <c r="A19" s="1029"/>
      <c r="B19" s="1051" t="s">
        <v>455</v>
      </c>
      <c r="C19" s="1051" t="str">
        <f>IF(D19&gt;0,"Ja","Neen")</f>
        <v>Neen</v>
      </c>
      <c r="D19" s="1052">
        <f>COUNTIF(D13:D18,"Ja")/COUNTA(D13:D18)</f>
        <v>0</v>
      </c>
      <c r="E19" s="1053" t="s">
        <v>1201</v>
      </c>
      <c r="F19" s="1054" t="s">
        <v>1673</v>
      </c>
      <c r="G19" s="1066"/>
      <c r="H19" s="1066"/>
      <c r="I19" s="1067"/>
      <c r="J19" s="1068"/>
      <c r="K19" s="1070"/>
      <c r="L19" s="1070"/>
      <c r="M19" s="1070"/>
      <c r="N19" s="1070"/>
      <c r="O19" s="1035"/>
      <c r="P19" s="323"/>
      <c r="Q19" s="323"/>
      <c r="R19" s="323"/>
      <c r="S19" s="323"/>
      <c r="T19" s="323"/>
      <c r="U19" s="323"/>
      <c r="V19" s="323"/>
      <c r="W19" s="323"/>
    </row>
    <row r="20" spans="1:23" ht="45" outlineLevel="1">
      <c r="A20" s="989"/>
      <c r="B20" s="1069"/>
      <c r="C20" s="329"/>
      <c r="D20" s="1062" t="s">
        <v>1990</v>
      </c>
      <c r="E20" s="321" t="s">
        <v>1205</v>
      </c>
      <c r="F20" s="321" t="s">
        <v>1547</v>
      </c>
      <c r="G20" s="1151" t="s">
        <v>1548</v>
      </c>
      <c r="H20" s="316" t="s">
        <v>427</v>
      </c>
      <c r="I20" s="316" t="s">
        <v>426</v>
      </c>
      <c r="J20" s="191"/>
      <c r="K20" s="191"/>
      <c r="L20" s="191"/>
      <c r="M20" s="191"/>
      <c r="N20" s="191"/>
      <c r="O20" s="1030"/>
      <c r="P20" s="191"/>
      <c r="Q20" s="191"/>
      <c r="R20" s="191"/>
      <c r="S20" s="191"/>
      <c r="T20" s="191"/>
      <c r="U20" s="191"/>
      <c r="V20" s="191"/>
      <c r="W20" s="191"/>
    </row>
    <row r="21" spans="1:23" ht="33.75" outlineLevel="1">
      <c r="A21" s="989"/>
      <c r="B21" s="1069"/>
      <c r="C21" s="329"/>
      <c r="D21" s="1062" t="s">
        <v>1990</v>
      </c>
      <c r="E21" s="321" t="s">
        <v>1205</v>
      </c>
      <c r="F21" s="321" t="s">
        <v>1551</v>
      </c>
      <c r="G21" s="320" t="s">
        <v>1552</v>
      </c>
      <c r="H21" s="316" t="s">
        <v>454</v>
      </c>
      <c r="I21" s="314" t="s">
        <v>453</v>
      </c>
      <c r="J21" s="316" t="s">
        <v>424</v>
      </c>
      <c r="K21" s="191"/>
      <c r="L21" s="191"/>
      <c r="M21" s="191"/>
      <c r="N21" s="191"/>
      <c r="O21" s="1030"/>
      <c r="P21" s="191"/>
      <c r="Q21" s="191"/>
      <c r="R21" s="191"/>
      <c r="S21" s="191"/>
      <c r="T21" s="191"/>
      <c r="U21" s="191"/>
      <c r="V21" s="191"/>
      <c r="W21" s="191"/>
    </row>
    <row r="22" spans="1:23" ht="22.5" outlineLevel="1">
      <c r="A22" s="989"/>
      <c r="B22" s="1069"/>
      <c r="C22" s="329"/>
      <c r="D22" s="1062" t="s">
        <v>1990</v>
      </c>
      <c r="E22" s="321" t="s">
        <v>1205</v>
      </c>
      <c r="F22" s="321" t="s">
        <v>1553</v>
      </c>
      <c r="G22" s="320" t="s">
        <v>1554</v>
      </c>
      <c r="H22" s="311"/>
      <c r="I22" s="191"/>
      <c r="J22" s="191"/>
      <c r="K22" s="191"/>
      <c r="L22" s="191"/>
      <c r="M22" s="191"/>
      <c r="N22" s="191"/>
      <c r="O22" s="1030"/>
      <c r="P22" s="191"/>
      <c r="Q22" s="191"/>
      <c r="R22" s="191"/>
      <c r="S22" s="191"/>
      <c r="T22" s="191"/>
      <c r="U22" s="191"/>
      <c r="V22" s="191"/>
      <c r="W22" s="191"/>
    </row>
    <row r="23" spans="1:23" ht="33.75" outlineLevel="1">
      <c r="A23" s="989"/>
      <c r="B23" s="1069"/>
      <c r="C23" s="329"/>
      <c r="D23" s="1062" t="s">
        <v>1990</v>
      </c>
      <c r="E23" s="321" t="s">
        <v>1205</v>
      </c>
      <c r="F23" s="321" t="s">
        <v>1557</v>
      </c>
      <c r="G23" s="320" t="s">
        <v>1558</v>
      </c>
      <c r="H23" s="314" t="s">
        <v>452</v>
      </c>
      <c r="I23" s="314" t="s">
        <v>451</v>
      </c>
      <c r="J23" s="316" t="s">
        <v>450</v>
      </c>
      <c r="K23" s="316" t="s">
        <v>449</v>
      </c>
      <c r="L23" s="191"/>
      <c r="M23" s="191"/>
      <c r="N23" s="191"/>
      <c r="O23" s="1030"/>
      <c r="P23" s="191"/>
      <c r="Q23" s="191"/>
      <c r="R23" s="191"/>
      <c r="S23" s="191"/>
      <c r="T23" s="191"/>
      <c r="U23" s="191"/>
      <c r="V23" s="191"/>
      <c r="W23" s="191"/>
    </row>
    <row r="24" spans="1:23" s="181" customFormat="1" ht="45.75" customHeight="1" thickBot="1">
      <c r="A24" s="1029"/>
      <c r="B24" s="1051" t="s">
        <v>448</v>
      </c>
      <c r="C24" s="1051" t="str">
        <f>IF(D24&gt;0,"Ja","Neen")</f>
        <v>Neen</v>
      </c>
      <c r="D24" s="1052">
        <f>COUNTIF(D20:D23,"Ja")/COUNTA(D20:D23)</f>
        <v>0</v>
      </c>
      <c r="E24" s="1052" t="s">
        <v>1205</v>
      </c>
      <c r="F24" s="1054" t="s">
        <v>1559</v>
      </c>
      <c r="G24" s="1066"/>
      <c r="H24" s="1066"/>
      <c r="I24" s="1067"/>
      <c r="J24" s="1068"/>
      <c r="K24" s="1070"/>
      <c r="L24" s="1070"/>
      <c r="M24" s="1070"/>
      <c r="N24" s="1070"/>
      <c r="O24" s="1035"/>
      <c r="P24" s="323"/>
      <c r="Q24" s="323"/>
      <c r="R24" s="323"/>
      <c r="S24" s="323"/>
      <c r="T24" s="323"/>
      <c r="U24" s="323"/>
      <c r="V24" s="323"/>
      <c r="W24" s="323"/>
    </row>
    <row r="25" spans="1:23" ht="33.75" outlineLevel="1">
      <c r="A25" s="989"/>
      <c r="B25" s="1069"/>
      <c r="C25" s="329"/>
      <c r="D25" s="1062" t="s">
        <v>1990</v>
      </c>
      <c r="E25" s="321" t="s">
        <v>1206</v>
      </c>
      <c r="F25" s="321" t="s">
        <v>1674</v>
      </c>
      <c r="G25" s="320" t="s">
        <v>1675</v>
      </c>
      <c r="H25" s="311"/>
      <c r="I25" s="316"/>
      <c r="J25" s="191"/>
      <c r="K25" s="191"/>
      <c r="L25" s="191"/>
      <c r="M25" s="191"/>
      <c r="N25" s="191"/>
      <c r="O25" s="1030"/>
      <c r="P25" s="191"/>
      <c r="Q25" s="191"/>
      <c r="R25" s="191"/>
      <c r="S25" s="191"/>
      <c r="T25" s="191"/>
      <c r="U25" s="191"/>
      <c r="V25" s="191"/>
      <c r="W25" s="191"/>
    </row>
    <row r="26" spans="1:23" ht="33.75" outlineLevel="1">
      <c r="A26" s="989"/>
      <c r="B26" s="1069"/>
      <c r="C26" s="329"/>
      <c r="D26" s="1062" t="s">
        <v>1990</v>
      </c>
      <c r="E26" s="321" t="s">
        <v>1206</v>
      </c>
      <c r="F26" s="321" t="s">
        <v>1676</v>
      </c>
      <c r="G26" s="320" t="s">
        <v>1677</v>
      </c>
      <c r="H26" s="311"/>
      <c r="I26" s="316"/>
      <c r="J26" s="191"/>
      <c r="K26" s="191"/>
      <c r="L26" s="191"/>
      <c r="M26" s="191"/>
      <c r="N26" s="191"/>
      <c r="O26" s="1030"/>
      <c r="P26" s="191"/>
      <c r="Q26" s="191"/>
      <c r="R26" s="191"/>
      <c r="S26" s="191"/>
      <c r="T26" s="191"/>
      <c r="U26" s="191"/>
      <c r="V26" s="191"/>
      <c r="W26" s="191"/>
    </row>
    <row r="27" spans="1:23" ht="33.75" outlineLevel="1">
      <c r="A27" s="989"/>
      <c r="B27" s="1069"/>
      <c r="C27" s="329"/>
      <c r="D27" s="1062" t="s">
        <v>1990</v>
      </c>
      <c r="E27" s="321" t="s">
        <v>1206</v>
      </c>
      <c r="F27" s="321" t="s">
        <v>1678</v>
      </c>
      <c r="G27" s="320" t="s">
        <v>1679</v>
      </c>
      <c r="H27" s="311"/>
      <c r="I27" s="191"/>
      <c r="J27" s="191"/>
      <c r="K27" s="191"/>
      <c r="L27" s="191"/>
      <c r="M27" s="191"/>
      <c r="N27" s="191"/>
      <c r="O27" s="1030"/>
      <c r="P27" s="191"/>
      <c r="Q27" s="191"/>
      <c r="R27" s="191"/>
      <c r="S27" s="191"/>
      <c r="T27" s="191"/>
      <c r="U27" s="191"/>
      <c r="V27" s="191"/>
      <c r="W27" s="191"/>
    </row>
    <row r="28" spans="1:23" outlineLevel="1">
      <c r="A28" s="989"/>
      <c r="B28" s="1069"/>
      <c r="C28" s="329"/>
      <c r="D28" s="1062" t="s">
        <v>1990</v>
      </c>
      <c r="E28" s="321" t="s">
        <v>1206</v>
      </c>
      <c r="F28" s="321" t="s">
        <v>1680</v>
      </c>
      <c r="G28" s="320"/>
      <c r="H28" s="311"/>
      <c r="I28" s="191"/>
      <c r="J28" s="191"/>
      <c r="K28" s="191"/>
      <c r="L28" s="191"/>
      <c r="M28" s="191"/>
      <c r="N28" s="191"/>
      <c r="O28" s="1030"/>
      <c r="P28" s="191"/>
      <c r="Q28" s="191"/>
      <c r="R28" s="191"/>
      <c r="S28" s="191"/>
      <c r="T28" s="191"/>
      <c r="U28" s="191"/>
      <c r="V28" s="191"/>
      <c r="W28" s="191"/>
    </row>
    <row r="29" spans="1:23" s="330" customFormat="1" ht="22.5" outlineLevel="1">
      <c r="A29" s="1064"/>
      <c r="B29" s="1069"/>
      <c r="C29" s="329"/>
      <c r="D29" s="1062" t="s">
        <v>1990</v>
      </c>
      <c r="E29" s="321" t="s">
        <v>1206</v>
      </c>
      <c r="F29" s="321" t="s">
        <v>1681</v>
      </c>
      <c r="G29" s="1152"/>
      <c r="H29" s="311"/>
      <c r="I29" s="191"/>
      <c r="J29" s="191"/>
      <c r="K29" s="191"/>
      <c r="L29" s="191"/>
      <c r="M29" s="191"/>
      <c r="N29" s="191"/>
      <c r="O29" s="1030"/>
      <c r="P29" s="191"/>
      <c r="Q29" s="191"/>
      <c r="R29" s="191"/>
      <c r="S29" s="191"/>
      <c r="T29" s="191"/>
      <c r="U29" s="191"/>
      <c r="V29" s="191"/>
      <c r="W29" s="191"/>
    </row>
    <row r="30" spans="1:23" outlineLevel="1">
      <c r="A30" s="989"/>
      <c r="B30" s="1069"/>
      <c r="C30" s="329"/>
      <c r="D30" s="1062" t="s">
        <v>1990</v>
      </c>
      <c r="E30" s="321" t="s">
        <v>1206</v>
      </c>
      <c r="F30" s="321" t="s">
        <v>1682</v>
      </c>
      <c r="G30" s="320"/>
      <c r="H30" s="311"/>
      <c r="I30" s="316"/>
      <c r="J30" s="191"/>
      <c r="K30" s="191"/>
      <c r="L30" s="191"/>
      <c r="M30" s="191"/>
      <c r="N30" s="191"/>
      <c r="O30" s="1030"/>
      <c r="P30" s="191"/>
      <c r="Q30" s="191"/>
      <c r="R30" s="191"/>
      <c r="S30" s="191"/>
      <c r="T30" s="191"/>
      <c r="U30" s="191"/>
      <c r="V30" s="191"/>
      <c r="W30" s="191"/>
    </row>
    <row r="31" spans="1:23" ht="22.5" outlineLevel="1">
      <c r="A31" s="989"/>
      <c r="B31" s="1069"/>
      <c r="C31" s="329"/>
      <c r="D31" s="1062" t="s">
        <v>1990</v>
      </c>
      <c r="E31" s="321" t="s">
        <v>1206</v>
      </c>
      <c r="F31" s="321" t="s">
        <v>1683</v>
      </c>
      <c r="G31" s="320" t="s">
        <v>1684</v>
      </c>
      <c r="H31" s="311"/>
      <c r="I31" s="316"/>
      <c r="J31" s="191"/>
      <c r="K31" s="191"/>
      <c r="L31" s="191"/>
      <c r="M31" s="191"/>
      <c r="N31" s="191"/>
      <c r="O31" s="1030"/>
      <c r="P31" s="191"/>
      <c r="Q31" s="191"/>
      <c r="R31" s="191"/>
      <c r="S31" s="191"/>
      <c r="T31" s="191"/>
      <c r="U31" s="191"/>
      <c r="V31" s="191"/>
      <c r="W31" s="191"/>
    </row>
    <row r="32" spans="1:23" ht="33.75" outlineLevel="1">
      <c r="A32" s="989"/>
      <c r="B32" s="1069"/>
      <c r="C32" s="329"/>
      <c r="D32" s="1062" t="s">
        <v>1990</v>
      </c>
      <c r="E32" s="321" t="s">
        <v>1206</v>
      </c>
      <c r="F32" s="321" t="s">
        <v>1685</v>
      </c>
      <c r="G32" s="320" t="s">
        <v>1686</v>
      </c>
      <c r="H32" s="311"/>
      <c r="I32" s="316"/>
      <c r="J32" s="191"/>
      <c r="K32" s="191"/>
      <c r="L32" s="191"/>
      <c r="M32" s="191"/>
      <c r="N32" s="191"/>
      <c r="O32" s="1030"/>
      <c r="P32" s="191"/>
      <c r="Q32" s="191"/>
      <c r="R32" s="191"/>
      <c r="S32" s="191"/>
      <c r="T32" s="191"/>
      <c r="U32" s="191"/>
      <c r="V32" s="191"/>
      <c r="W32" s="191"/>
    </row>
    <row r="33" spans="1:23" s="181" customFormat="1" ht="45.75" customHeight="1" thickBot="1">
      <c r="A33" s="1029"/>
      <c r="B33" s="1051" t="s">
        <v>447</v>
      </c>
      <c r="C33" s="1051" t="str">
        <f>IF(D33&gt;0,"Ja","Neen")</f>
        <v>Neen</v>
      </c>
      <c r="D33" s="1052">
        <f>COUNTIF(D25:D32,"Ja")/COUNTA(D25:D32)</f>
        <v>0</v>
      </c>
      <c r="E33" s="1053" t="s">
        <v>1206</v>
      </c>
      <c r="F33" s="1054" t="s">
        <v>1687</v>
      </c>
      <c r="G33" s="1066"/>
      <c r="H33" s="1066"/>
      <c r="I33" s="1067"/>
      <c r="J33" s="1068"/>
      <c r="K33" s="1070"/>
      <c r="L33" s="1070"/>
      <c r="M33" s="1070"/>
      <c r="N33" s="1070"/>
      <c r="O33" s="1035"/>
      <c r="P33" s="323"/>
      <c r="Q33" s="323"/>
      <c r="R33" s="323"/>
      <c r="S33" s="323"/>
      <c r="T33" s="323"/>
      <c r="U33" s="323"/>
      <c r="V33" s="323"/>
      <c r="W33" s="323"/>
    </row>
    <row r="34" spans="1:23" s="330" customFormat="1" ht="22.5" outlineLevel="1">
      <c r="A34" s="1064"/>
      <c r="B34" s="1069"/>
      <c r="C34" s="329"/>
      <c r="D34" s="1062" t="s">
        <v>1990</v>
      </c>
      <c r="E34" s="321" t="s">
        <v>1688</v>
      </c>
      <c r="F34" s="321" t="s">
        <v>1689</v>
      </c>
      <c r="G34" s="320"/>
      <c r="H34" s="311"/>
      <c r="I34" s="191"/>
      <c r="J34" s="191"/>
      <c r="K34" s="191"/>
      <c r="L34" s="191"/>
      <c r="M34" s="191"/>
      <c r="N34" s="191"/>
      <c r="O34" s="1030"/>
      <c r="P34" s="191"/>
      <c r="Q34" s="191"/>
      <c r="R34" s="191"/>
      <c r="S34" s="191"/>
      <c r="T34" s="191"/>
      <c r="U34" s="191"/>
      <c r="V34" s="191"/>
      <c r="W34" s="191"/>
    </row>
    <row r="35" spans="1:23" s="330" customFormat="1" ht="33.75" outlineLevel="1">
      <c r="A35" s="1064"/>
      <c r="B35" s="1069"/>
      <c r="C35" s="329"/>
      <c r="D35" s="1062" t="s">
        <v>1990</v>
      </c>
      <c r="E35" s="321" t="s">
        <v>1690</v>
      </c>
      <c r="F35" s="321" t="s">
        <v>1691</v>
      </c>
      <c r="G35" s="320" t="s">
        <v>1692</v>
      </c>
      <c r="H35" s="311"/>
      <c r="I35" s="191"/>
      <c r="J35" s="191"/>
      <c r="K35" s="191"/>
      <c r="L35" s="191"/>
      <c r="M35" s="191"/>
      <c r="N35" s="191"/>
      <c r="O35" s="1030"/>
      <c r="P35" s="191"/>
      <c r="Q35" s="191"/>
      <c r="R35" s="191"/>
      <c r="S35" s="191"/>
      <c r="T35" s="191"/>
      <c r="U35" s="191"/>
      <c r="V35" s="191"/>
      <c r="W35" s="191"/>
    </row>
    <row r="36" spans="1:23" s="330" customFormat="1" ht="22.5" outlineLevel="1">
      <c r="A36" s="1064"/>
      <c r="B36" s="1069"/>
      <c r="C36" s="329"/>
      <c r="D36" s="1062" t="s">
        <v>1990</v>
      </c>
      <c r="E36" s="321" t="s">
        <v>1693</v>
      </c>
      <c r="F36" s="321" t="s">
        <v>1694</v>
      </c>
      <c r="G36" s="320" t="s">
        <v>1695</v>
      </c>
      <c r="H36" s="311"/>
      <c r="I36" s="191"/>
      <c r="J36" s="191"/>
      <c r="K36" s="191"/>
      <c r="L36" s="191"/>
      <c r="M36" s="191"/>
      <c r="N36" s="191"/>
      <c r="O36" s="1030"/>
      <c r="P36" s="191"/>
      <c r="Q36" s="191"/>
      <c r="R36" s="191"/>
      <c r="S36" s="191"/>
      <c r="T36" s="191"/>
      <c r="U36" s="191"/>
      <c r="V36" s="191"/>
      <c r="W36" s="191"/>
    </row>
    <row r="37" spans="1:23" s="181" customFormat="1" ht="45.75" customHeight="1" thickBot="1">
      <c r="A37" s="1029"/>
      <c r="B37" s="1051" t="s">
        <v>443</v>
      </c>
      <c r="C37" s="1051" t="str">
        <f>IF(D37&gt;0,"Ja","Neen")</f>
        <v>Neen</v>
      </c>
      <c r="D37" s="1052">
        <f>COUNTIF(D34:D36,"Ja")/COUNTA(D34:D36)</f>
        <v>0</v>
      </c>
      <c r="E37" s="1053" t="s">
        <v>1696</v>
      </c>
      <c r="F37" s="1054" t="s">
        <v>1697</v>
      </c>
      <c r="G37" s="1066"/>
      <c r="H37" s="1066"/>
      <c r="I37" s="1067"/>
      <c r="J37" s="1068"/>
      <c r="K37" s="1070"/>
      <c r="L37" s="1070"/>
      <c r="M37" s="1070"/>
      <c r="N37" s="1070"/>
      <c r="O37" s="1035"/>
      <c r="P37" s="323"/>
      <c r="Q37" s="323"/>
      <c r="R37" s="323"/>
      <c r="S37" s="323"/>
      <c r="T37" s="323"/>
      <c r="U37" s="323"/>
      <c r="V37" s="323"/>
      <c r="W37" s="323"/>
    </row>
    <row r="38" spans="1:23" ht="45" outlineLevel="1">
      <c r="A38" s="989"/>
      <c r="B38" s="1069"/>
      <c r="C38" s="329"/>
      <c r="D38" s="1062" t="s">
        <v>1990</v>
      </c>
      <c r="E38" s="321" t="s">
        <v>1698</v>
      </c>
      <c r="F38" s="321" t="s">
        <v>1699</v>
      </c>
      <c r="G38" s="320" t="s">
        <v>1700</v>
      </c>
      <c r="H38" s="311"/>
      <c r="I38" s="191"/>
      <c r="J38" s="191"/>
      <c r="K38" s="191"/>
      <c r="L38" s="191"/>
      <c r="M38" s="191"/>
      <c r="N38" s="191"/>
      <c r="O38" s="1030"/>
      <c r="P38" s="191"/>
      <c r="Q38" s="191"/>
      <c r="R38" s="191"/>
      <c r="S38" s="191"/>
      <c r="T38" s="191"/>
      <c r="U38" s="191"/>
      <c r="V38" s="191"/>
      <c r="W38" s="191"/>
    </row>
    <row r="39" spans="1:23" ht="45" outlineLevel="1">
      <c r="A39" s="989"/>
      <c r="B39" s="1069"/>
      <c r="C39" s="329"/>
      <c r="D39" s="1062" t="s">
        <v>1990</v>
      </c>
      <c r="E39" s="321" t="s">
        <v>1698</v>
      </c>
      <c r="F39" s="321" t="s">
        <v>1701</v>
      </c>
      <c r="G39" s="320" t="s">
        <v>1702</v>
      </c>
      <c r="H39" s="311"/>
      <c r="I39" s="316"/>
      <c r="J39" s="191"/>
      <c r="K39" s="191"/>
      <c r="L39" s="191"/>
      <c r="M39" s="191"/>
      <c r="N39" s="191"/>
      <c r="O39" s="1030"/>
      <c r="P39" s="191"/>
      <c r="Q39" s="191"/>
      <c r="R39" s="191"/>
      <c r="S39" s="191"/>
      <c r="T39" s="191"/>
      <c r="U39" s="191"/>
      <c r="V39" s="191"/>
      <c r="W39" s="191"/>
    </row>
    <row r="40" spans="1:23" ht="45" outlineLevel="1">
      <c r="A40" s="989"/>
      <c r="B40" s="1069"/>
      <c r="C40" s="329"/>
      <c r="D40" s="1062" t="s">
        <v>1990</v>
      </c>
      <c r="E40" s="321" t="s">
        <v>1698</v>
      </c>
      <c r="F40" s="321" t="s">
        <v>1703</v>
      </c>
      <c r="G40" s="320" t="s">
        <v>1704</v>
      </c>
      <c r="H40" s="311"/>
      <c r="I40" s="316"/>
      <c r="J40" s="191"/>
      <c r="K40" s="191"/>
      <c r="L40" s="191"/>
      <c r="M40" s="191"/>
      <c r="N40" s="191"/>
      <c r="O40" s="1030"/>
      <c r="P40" s="191"/>
      <c r="Q40" s="191"/>
      <c r="R40" s="191"/>
      <c r="S40" s="191"/>
      <c r="T40" s="191"/>
      <c r="U40" s="191"/>
      <c r="V40" s="191"/>
      <c r="W40" s="191"/>
    </row>
    <row r="41" spans="1:23" ht="90" outlineLevel="1">
      <c r="A41" s="989"/>
      <c r="B41" s="1069"/>
      <c r="C41" s="329"/>
      <c r="D41" s="1062" t="s">
        <v>1990</v>
      </c>
      <c r="E41" s="321" t="s">
        <v>1698</v>
      </c>
      <c r="F41" s="321" t="s">
        <v>1705</v>
      </c>
      <c r="G41" s="1151" t="s">
        <v>1565</v>
      </c>
      <c r="H41" s="311" t="s">
        <v>420</v>
      </c>
      <c r="I41" s="316"/>
      <c r="J41" s="191"/>
      <c r="K41" s="191"/>
      <c r="L41" s="191"/>
      <c r="M41" s="191"/>
      <c r="N41" s="191"/>
      <c r="O41" s="1030"/>
      <c r="P41" s="191"/>
      <c r="Q41" s="191"/>
      <c r="R41" s="191"/>
      <c r="S41" s="191"/>
      <c r="T41" s="191"/>
      <c r="U41" s="191"/>
      <c r="V41" s="191"/>
      <c r="W41" s="191"/>
    </row>
    <row r="42" spans="1:23" s="181" customFormat="1" ht="81" customHeight="1" thickBot="1">
      <c r="A42" s="1029"/>
      <c r="B42" s="1051" t="s">
        <v>446</v>
      </c>
      <c r="C42" s="1051" t="str">
        <f>IF(D42&gt;0,"Ja","Neen")</f>
        <v>Neen</v>
      </c>
      <c r="D42" s="1052">
        <f>COUNTIF(D38:D41,"Ja")/COUNTA(D38:D41)</f>
        <v>0</v>
      </c>
      <c r="E42" s="1054" t="s">
        <v>1698</v>
      </c>
      <c r="F42" s="1054" t="s">
        <v>1566</v>
      </c>
      <c r="G42" s="1066"/>
      <c r="H42" s="1066"/>
      <c r="I42" s="1067"/>
      <c r="J42" s="1068"/>
      <c r="K42" s="1070"/>
      <c r="L42" s="1070"/>
      <c r="M42" s="1070"/>
      <c r="N42" s="1070"/>
      <c r="O42" s="1035"/>
      <c r="P42" s="323"/>
      <c r="Q42" s="323"/>
      <c r="R42" s="323"/>
      <c r="S42" s="323"/>
      <c r="T42" s="323"/>
      <c r="U42" s="323"/>
      <c r="V42" s="323"/>
      <c r="W42" s="323"/>
    </row>
    <row r="43" spans="1:23" ht="33.75" outlineLevel="1">
      <c r="A43" s="989"/>
      <c r="B43" s="1069"/>
      <c r="C43" s="329"/>
      <c r="D43" s="1062" t="s">
        <v>1990</v>
      </c>
      <c r="E43" s="321" t="s">
        <v>1212</v>
      </c>
      <c r="F43" s="321" t="s">
        <v>1598</v>
      </c>
      <c r="G43" s="320" t="s">
        <v>1599</v>
      </c>
      <c r="H43" s="311" t="s">
        <v>410</v>
      </c>
      <c r="I43" s="191"/>
      <c r="J43" s="191"/>
      <c r="K43" s="191"/>
      <c r="L43" s="191"/>
      <c r="M43" s="191"/>
      <c r="N43" s="191"/>
      <c r="O43" s="1030"/>
      <c r="P43" s="191"/>
      <c r="Q43" s="191"/>
      <c r="R43" s="191"/>
      <c r="S43" s="191"/>
      <c r="T43" s="191"/>
      <c r="U43" s="191"/>
      <c r="V43" s="191"/>
      <c r="W43" s="191"/>
    </row>
    <row r="44" spans="1:23" ht="22.5" outlineLevel="1">
      <c r="A44" s="989"/>
      <c r="B44" s="1069"/>
      <c r="C44" s="329"/>
      <c r="D44" s="1062" t="s">
        <v>1990</v>
      </c>
      <c r="E44" s="321" t="s">
        <v>1212</v>
      </c>
      <c r="F44" s="321" t="s">
        <v>1603</v>
      </c>
      <c r="G44" s="320" t="s">
        <v>1604</v>
      </c>
      <c r="H44" s="311"/>
      <c r="I44" s="191"/>
      <c r="J44" s="191"/>
      <c r="K44" s="191"/>
      <c r="L44" s="191"/>
      <c r="M44" s="191"/>
      <c r="N44" s="191"/>
      <c r="O44" s="1030"/>
      <c r="P44" s="191"/>
      <c r="Q44" s="191"/>
      <c r="R44" s="191"/>
      <c r="S44" s="191"/>
      <c r="T44" s="191"/>
      <c r="U44" s="191"/>
      <c r="V44" s="191"/>
      <c r="W44" s="191"/>
    </row>
    <row r="45" spans="1:23" s="181" customFormat="1" ht="45.75" customHeight="1" thickBot="1">
      <c r="A45" s="1029"/>
      <c r="B45" s="1051" t="s">
        <v>445</v>
      </c>
      <c r="C45" s="1051" t="str">
        <f>IF(D45&gt;0,"Ja","Neen")</f>
        <v>Neen</v>
      </c>
      <c r="D45" s="1052">
        <f>COUNTIF(D43:D44,"Ja")/COUNTA(D43:D44)</f>
        <v>0</v>
      </c>
      <c r="E45" s="1053" t="s">
        <v>1212</v>
      </c>
      <c r="F45" s="1054" t="s">
        <v>1605</v>
      </c>
      <c r="G45" s="1066"/>
      <c r="H45" s="1066"/>
      <c r="I45" s="1067"/>
      <c r="J45" s="1068"/>
      <c r="K45" s="1070"/>
      <c r="L45" s="1070"/>
      <c r="M45" s="1070"/>
      <c r="N45" s="1070"/>
      <c r="O45" s="1035"/>
      <c r="P45" s="323"/>
      <c r="Q45" s="323"/>
      <c r="R45" s="323"/>
      <c r="S45" s="323"/>
      <c r="T45" s="323"/>
      <c r="U45" s="323"/>
      <c r="V45" s="323"/>
      <c r="W45" s="323"/>
    </row>
    <row r="46" spans="1:23">
      <c r="A46" s="989"/>
      <c r="B46" s="989"/>
      <c r="C46" s="1029"/>
      <c r="D46" s="1033"/>
      <c r="E46" s="1032"/>
      <c r="F46" s="1032"/>
      <c r="G46" s="1034"/>
      <c r="H46" s="1034"/>
      <c r="I46" s="1030"/>
      <c r="J46" s="1030"/>
      <c r="K46" s="1030"/>
      <c r="L46" s="1030"/>
      <c r="M46" s="1030"/>
      <c r="N46" s="1030"/>
      <c r="O46" s="1030"/>
      <c r="P46" s="191"/>
      <c r="Q46" s="191"/>
      <c r="R46" s="191"/>
      <c r="S46" s="191"/>
      <c r="T46" s="191"/>
      <c r="U46" s="191"/>
      <c r="V46" s="191"/>
      <c r="W46" s="191"/>
    </row>
    <row r="47" spans="1:23" ht="12.75" thickBot="1">
      <c r="A47" s="989"/>
      <c r="B47" s="989"/>
      <c r="C47" s="1029"/>
      <c r="D47" s="1038" t="s">
        <v>391</v>
      </c>
      <c r="E47" s="1039"/>
      <c r="F47" s="1039"/>
      <c r="G47" s="1034"/>
      <c r="H47" s="1034"/>
      <c r="I47" s="1030"/>
      <c r="J47" s="1030"/>
      <c r="K47" s="1030"/>
      <c r="L47" s="1030"/>
      <c r="M47" s="1030"/>
      <c r="N47" s="1030"/>
      <c r="O47" s="1030"/>
      <c r="P47" s="191"/>
      <c r="Q47" s="191"/>
      <c r="R47" s="191"/>
      <c r="S47" s="191"/>
      <c r="T47" s="191"/>
      <c r="U47" s="191"/>
      <c r="V47" s="191"/>
      <c r="W47" s="191"/>
    </row>
    <row r="48" spans="1:23">
      <c r="A48" s="989"/>
      <c r="B48" s="989"/>
      <c r="C48" s="1029"/>
      <c r="D48" s="1040">
        <f>1*D12</f>
        <v>0</v>
      </c>
      <c r="E48" s="1039" t="s">
        <v>1706</v>
      </c>
      <c r="F48" s="1041" t="s">
        <v>444</v>
      </c>
      <c r="G48" s="1034"/>
      <c r="H48" s="1034"/>
      <c r="I48" s="1030"/>
      <c r="J48" s="1030"/>
      <c r="K48" s="1030"/>
      <c r="L48" s="1030"/>
      <c r="M48" s="1030"/>
      <c r="N48" s="1030"/>
      <c r="O48" s="1030"/>
      <c r="P48" s="191"/>
      <c r="Q48" s="191"/>
      <c r="R48" s="191"/>
      <c r="S48" s="191"/>
      <c r="T48" s="191"/>
      <c r="U48" s="191"/>
      <c r="V48" s="191"/>
      <c r="W48" s="191"/>
    </row>
    <row r="49" spans="1:23">
      <c r="A49" s="989"/>
      <c r="B49" s="989"/>
      <c r="C49" s="1029"/>
      <c r="D49" s="1042">
        <f>1*D37</f>
        <v>0</v>
      </c>
      <c r="E49" s="1039" t="s">
        <v>1707</v>
      </c>
      <c r="F49" s="1041" t="s">
        <v>443</v>
      </c>
      <c r="G49" s="1034"/>
      <c r="H49" s="1034"/>
      <c r="I49" s="1030"/>
      <c r="J49" s="1030"/>
      <c r="K49" s="1030"/>
      <c r="L49" s="1030"/>
      <c r="M49" s="1030"/>
      <c r="N49" s="1030"/>
      <c r="O49" s="1030"/>
      <c r="P49" s="191"/>
      <c r="Q49" s="191"/>
      <c r="R49" s="191"/>
      <c r="S49" s="191"/>
      <c r="T49" s="191"/>
      <c r="U49" s="191"/>
      <c r="V49" s="191"/>
      <c r="W49" s="191"/>
    </row>
    <row r="50" spans="1:23">
      <c r="A50" s="989"/>
      <c r="B50" s="989"/>
      <c r="C50" s="1029"/>
      <c r="D50" s="1042">
        <f>1*AVERAGE(D24,D42,D19)</f>
        <v>0</v>
      </c>
      <c r="E50" s="1039" t="s">
        <v>1708</v>
      </c>
      <c r="F50" s="1041" t="s">
        <v>442</v>
      </c>
      <c r="G50" s="989"/>
      <c r="H50" s="1036"/>
      <c r="I50" s="1036"/>
      <c r="J50" s="1036"/>
      <c r="K50" s="989"/>
      <c r="L50" s="989"/>
      <c r="M50" s="1030"/>
      <c r="N50" s="1030"/>
      <c r="O50" s="1030"/>
      <c r="P50" s="191"/>
      <c r="Q50" s="191"/>
      <c r="R50" s="191"/>
      <c r="S50" s="191"/>
      <c r="T50" s="191"/>
      <c r="U50" s="191"/>
      <c r="V50" s="191"/>
      <c r="W50" s="191"/>
    </row>
    <row r="51" spans="1:23">
      <c r="A51" s="989"/>
      <c r="B51" s="989"/>
      <c r="C51" s="989"/>
      <c r="D51" s="1042">
        <f>1*AVERAGE(D33,D45)</f>
        <v>0</v>
      </c>
      <c r="E51" s="1039" t="s">
        <v>1710</v>
      </c>
      <c r="F51" s="1041" t="s">
        <v>441</v>
      </c>
      <c r="G51" s="989"/>
      <c r="H51" s="1036"/>
      <c r="I51" s="1036"/>
      <c r="J51" s="1036"/>
      <c r="K51" s="989"/>
      <c r="L51" s="989"/>
      <c r="M51" s="1030"/>
      <c r="N51" s="1030"/>
      <c r="O51" s="1030"/>
      <c r="P51" s="191"/>
      <c r="Q51" s="191"/>
      <c r="R51" s="191"/>
      <c r="S51" s="191"/>
      <c r="T51" s="191"/>
      <c r="U51" s="191"/>
      <c r="V51" s="191"/>
      <c r="W51" s="191"/>
    </row>
    <row r="52" spans="1:23" ht="12.75" thickBot="1">
      <c r="A52" s="989"/>
      <c r="B52" s="989"/>
      <c r="C52" s="989"/>
      <c r="D52" s="1065">
        <f>IF(SUM(D48:D51)=0,0,SUM(D48:D51))</f>
        <v>0</v>
      </c>
      <c r="E52" s="1041"/>
      <c r="F52" s="1041"/>
      <c r="G52" s="989"/>
      <c r="H52" s="1036"/>
      <c r="I52" s="1036"/>
      <c r="J52" s="1036"/>
      <c r="K52" s="989"/>
      <c r="L52" s="989"/>
      <c r="M52" s="1030"/>
      <c r="N52" s="1030"/>
      <c r="O52" s="1030"/>
      <c r="P52" s="191"/>
      <c r="Q52" s="191"/>
      <c r="R52" s="191"/>
      <c r="S52" s="191"/>
      <c r="T52" s="191"/>
      <c r="U52" s="191"/>
      <c r="V52" s="191"/>
      <c r="W52" s="191"/>
    </row>
    <row r="53" spans="1:23" hidden="1">
      <c r="A53" s="989"/>
      <c r="B53" s="462"/>
      <c r="C53" s="462"/>
      <c r="E53" s="331" t="str">
        <f>"Objectif atteint = "&amp;ROUND(D52,1)</f>
        <v>Objectif atteint = 0</v>
      </c>
      <c r="F53" s="312"/>
      <c r="H53" s="1036"/>
      <c r="I53" s="1036"/>
      <c r="J53" s="1036"/>
      <c r="K53" s="989"/>
      <c r="L53" s="989"/>
      <c r="M53" s="1030"/>
      <c r="N53" s="1030"/>
      <c r="O53" s="1030"/>
      <c r="P53" s="191"/>
      <c r="Q53" s="191"/>
      <c r="R53" s="191"/>
      <c r="S53" s="191"/>
      <c r="T53" s="191"/>
      <c r="U53" s="191"/>
      <c r="V53" s="191"/>
      <c r="W53" s="191"/>
    </row>
    <row r="54" spans="1:23" hidden="1">
      <c r="A54" s="989"/>
      <c r="B54" s="462"/>
      <c r="C54" s="462"/>
      <c r="E54" s="332" t="str">
        <f>"Target 0 = "</f>
        <v xml:space="preserve">Target 0 = </v>
      </c>
      <c r="F54" s="312"/>
      <c r="H54" s="1036"/>
      <c r="I54" s="1036"/>
      <c r="J54" s="1036"/>
      <c r="K54" s="989"/>
      <c r="L54" s="989"/>
      <c r="M54" s="1030"/>
      <c r="N54" s="1030"/>
      <c r="O54" s="1030"/>
      <c r="P54" s="191"/>
      <c r="Q54" s="191"/>
      <c r="R54" s="191"/>
      <c r="S54" s="191"/>
      <c r="T54" s="191"/>
      <c r="U54" s="191"/>
      <c r="V54" s="191"/>
      <c r="W54" s="191"/>
    </row>
    <row r="55" spans="1:23" hidden="1">
      <c r="A55" s="989"/>
      <c r="B55" s="462"/>
      <c r="C55" s="462"/>
      <c r="E55" s="312"/>
      <c r="F55" s="312"/>
      <c r="H55" s="1036"/>
      <c r="I55" s="1036"/>
      <c r="J55" s="1036"/>
      <c r="K55" s="989"/>
      <c r="L55" s="989"/>
      <c r="M55" s="1030"/>
      <c r="N55" s="1030"/>
      <c r="O55" s="1030"/>
      <c r="P55" s="191"/>
      <c r="Q55" s="191"/>
      <c r="R55" s="191"/>
      <c r="S55" s="191"/>
      <c r="T55" s="191"/>
      <c r="U55" s="191"/>
      <c r="V55" s="191"/>
      <c r="W55" s="191"/>
    </row>
    <row r="56" spans="1:23" hidden="1">
      <c r="A56" s="989"/>
      <c r="B56" s="462"/>
      <c r="C56" s="462"/>
      <c r="D56" s="221" t="s">
        <v>352</v>
      </c>
      <c r="E56" s="221"/>
      <c r="F56" s="221"/>
      <c r="G56" s="221"/>
      <c r="H56" s="1036"/>
      <c r="I56" s="1036"/>
      <c r="J56" s="1036"/>
      <c r="K56" s="1030"/>
      <c r="L56" s="1030"/>
      <c r="M56" s="1030"/>
      <c r="N56" s="1030"/>
      <c r="O56" s="1030"/>
      <c r="P56" s="191"/>
      <c r="Q56" s="191"/>
      <c r="R56" s="191"/>
      <c r="S56" s="191"/>
      <c r="T56" s="191"/>
      <c r="U56" s="191"/>
      <c r="V56" s="191"/>
      <c r="W56" s="191"/>
    </row>
    <row r="57" spans="1:23" hidden="1">
      <c r="A57" s="989"/>
      <c r="B57" s="462"/>
      <c r="C57" s="462"/>
      <c r="D57" s="227">
        <f>D52/4</f>
        <v>0</v>
      </c>
      <c r="E57" s="221" t="s">
        <v>351</v>
      </c>
      <c r="F57" s="221">
        <v>0</v>
      </c>
      <c r="G57" s="221" t="s">
        <v>350</v>
      </c>
      <c r="H57" s="1036"/>
      <c r="I57" s="1071">
        <v>25</v>
      </c>
      <c r="J57" s="1036"/>
      <c r="K57" s="1030"/>
      <c r="L57" s="1030"/>
      <c r="M57" s="1030"/>
      <c r="N57" s="1030"/>
      <c r="O57" s="1030"/>
      <c r="P57" s="191"/>
      <c r="Q57" s="191"/>
      <c r="R57" s="191"/>
      <c r="S57" s="191"/>
      <c r="T57" s="191"/>
      <c r="U57" s="191"/>
      <c r="V57" s="191"/>
      <c r="W57" s="191"/>
    </row>
    <row r="58" spans="1:23" hidden="1">
      <c r="A58" s="989"/>
      <c r="B58" s="462"/>
      <c r="C58" s="462"/>
      <c r="D58" s="227">
        <f>100%-D57</f>
        <v>1</v>
      </c>
      <c r="E58" s="221" t="s">
        <v>349</v>
      </c>
      <c r="F58" s="221">
        <v>1</v>
      </c>
      <c r="G58" s="221" t="s">
        <v>18</v>
      </c>
      <c r="H58" s="1036"/>
      <c r="I58" s="1071">
        <v>25</v>
      </c>
      <c r="J58" s="1036"/>
      <c r="K58" s="1030"/>
      <c r="L58" s="1030"/>
      <c r="M58" s="1030"/>
      <c r="N58" s="1030"/>
      <c r="O58" s="1030"/>
      <c r="P58" s="191"/>
      <c r="Q58" s="191"/>
      <c r="R58" s="191"/>
      <c r="S58" s="191"/>
      <c r="T58" s="191"/>
      <c r="U58" s="191"/>
      <c r="V58" s="191"/>
      <c r="W58" s="191"/>
    </row>
    <row r="59" spans="1:23" hidden="1">
      <c r="A59" s="989"/>
      <c r="B59" s="462"/>
      <c r="C59" s="462"/>
      <c r="D59" s="227">
        <v>0.5</v>
      </c>
      <c r="E59" s="221" t="s">
        <v>348</v>
      </c>
      <c r="F59" s="221">
        <v>2</v>
      </c>
      <c r="G59" s="231" t="s">
        <v>347</v>
      </c>
      <c r="H59" s="1036"/>
      <c r="I59" s="1071">
        <v>25</v>
      </c>
      <c r="J59" s="1036"/>
      <c r="K59" s="1030"/>
      <c r="L59" s="1030"/>
      <c r="M59" s="1030"/>
      <c r="N59" s="1030"/>
      <c r="O59" s="1030"/>
      <c r="P59" s="191"/>
      <c r="Q59" s="191"/>
      <c r="R59" s="191"/>
      <c r="S59" s="191"/>
      <c r="T59" s="191"/>
      <c r="U59" s="191"/>
      <c r="V59" s="191"/>
      <c r="W59" s="191"/>
    </row>
    <row r="60" spans="1:23" hidden="1">
      <c r="A60" s="989"/>
      <c r="B60" s="462"/>
      <c r="C60" s="462"/>
      <c r="D60" s="227">
        <v>0.5</v>
      </c>
      <c r="E60" s="221" t="s">
        <v>346</v>
      </c>
      <c r="F60" s="221">
        <v>3</v>
      </c>
      <c r="G60" s="221"/>
      <c r="H60" s="1036"/>
      <c r="I60" s="1071">
        <v>25</v>
      </c>
      <c r="J60" s="1036"/>
      <c r="K60" s="1030"/>
      <c r="L60" s="1030"/>
      <c r="M60" s="1030"/>
      <c r="N60" s="1030"/>
      <c r="O60" s="1030"/>
      <c r="P60" s="191"/>
      <c r="Q60" s="191"/>
      <c r="R60" s="191"/>
      <c r="S60" s="191"/>
      <c r="T60" s="191"/>
      <c r="U60" s="191"/>
      <c r="V60" s="191"/>
      <c r="W60" s="191"/>
    </row>
    <row r="61" spans="1:23" hidden="1">
      <c r="A61" s="989"/>
      <c r="B61" s="462"/>
      <c r="C61" s="462"/>
      <c r="D61" s="225"/>
      <c r="E61" s="225"/>
      <c r="F61" s="221">
        <v>4</v>
      </c>
      <c r="G61" s="221" t="s">
        <v>345</v>
      </c>
      <c r="H61" s="1036"/>
      <c r="I61" s="1071">
        <v>100</v>
      </c>
      <c r="J61" s="1036"/>
      <c r="K61" s="1030"/>
      <c r="L61" s="1030"/>
      <c r="M61" s="1030"/>
      <c r="N61" s="1030"/>
      <c r="O61" s="1030"/>
      <c r="P61" s="191"/>
      <c r="Q61" s="191"/>
      <c r="R61" s="191"/>
      <c r="S61" s="191"/>
      <c r="T61" s="191"/>
      <c r="U61" s="191"/>
      <c r="V61" s="191"/>
      <c r="W61" s="191"/>
    </row>
    <row r="62" spans="1:23" hidden="1">
      <c r="A62" s="989"/>
      <c r="B62" s="462"/>
      <c r="C62" s="462"/>
      <c r="D62" s="221"/>
      <c r="E62" s="221"/>
      <c r="F62" s="221"/>
      <c r="G62" s="221"/>
      <c r="H62" s="1036"/>
      <c r="I62" s="1036"/>
      <c r="J62" s="1036"/>
      <c r="K62" s="1030"/>
      <c r="L62" s="1030"/>
      <c r="M62" s="1030"/>
      <c r="N62" s="1030"/>
      <c r="O62" s="1030"/>
      <c r="P62" s="191"/>
      <c r="Q62" s="191"/>
      <c r="R62" s="191"/>
      <c r="S62" s="191"/>
      <c r="T62" s="191"/>
      <c r="U62" s="191"/>
      <c r="V62" s="191"/>
      <c r="W62" s="191"/>
    </row>
    <row r="63" spans="1:23" hidden="1">
      <c r="A63" s="989"/>
      <c r="B63" s="462"/>
      <c r="C63" s="462"/>
      <c r="E63" s="312"/>
      <c r="F63" s="312"/>
      <c r="G63" s="311"/>
      <c r="H63" s="1034"/>
      <c r="I63" s="1030"/>
      <c r="J63" s="1030"/>
      <c r="K63" s="1030"/>
      <c r="L63" s="1030"/>
      <c r="M63" s="1030"/>
      <c r="N63" s="1030"/>
      <c r="O63" s="1030"/>
      <c r="P63" s="191"/>
      <c r="Q63" s="191"/>
      <c r="R63" s="191"/>
      <c r="S63" s="191"/>
      <c r="T63" s="191"/>
      <c r="U63" s="191"/>
      <c r="V63" s="191"/>
      <c r="W63" s="191"/>
    </row>
    <row r="64" spans="1:23" hidden="1">
      <c r="A64" s="989"/>
      <c r="B64" s="462"/>
      <c r="C64" s="462"/>
      <c r="E64" s="312"/>
      <c r="F64" s="312"/>
      <c r="G64" s="311"/>
      <c r="H64" s="1034"/>
      <c r="I64" s="1030"/>
      <c r="J64" s="1030"/>
      <c r="K64" s="1030"/>
      <c r="L64" s="1030"/>
      <c r="M64" s="1030"/>
      <c r="N64" s="1030"/>
      <c r="O64" s="1030"/>
      <c r="P64" s="191"/>
      <c r="Q64" s="191"/>
      <c r="R64" s="191"/>
      <c r="S64" s="191"/>
      <c r="T64" s="191"/>
      <c r="U64" s="191"/>
      <c r="V64" s="191"/>
      <c r="W64" s="191"/>
    </row>
    <row r="65" spans="1:23">
      <c r="A65" s="989"/>
      <c r="B65" s="989"/>
      <c r="C65" s="989"/>
      <c r="D65" s="1033"/>
      <c r="E65" s="1032"/>
      <c r="F65" s="1032"/>
      <c r="G65" s="1034"/>
      <c r="H65" s="1034"/>
      <c r="I65" s="1030"/>
      <c r="J65" s="1030"/>
      <c r="K65" s="1030"/>
      <c r="L65" s="1030"/>
      <c r="M65" s="1030"/>
      <c r="N65" s="1030"/>
      <c r="O65" s="1030"/>
      <c r="P65" s="191"/>
      <c r="Q65" s="191"/>
      <c r="R65" s="191"/>
      <c r="S65" s="191"/>
      <c r="T65" s="191"/>
      <c r="U65" s="191"/>
      <c r="V65" s="191"/>
      <c r="W65" s="191"/>
    </row>
    <row r="66" spans="1:23">
      <c r="A66" s="989"/>
      <c r="B66" s="989"/>
      <c r="C66" s="989"/>
      <c r="D66" s="1033"/>
      <c r="E66" s="1032"/>
      <c r="F66" s="1032"/>
      <c r="G66" s="1034"/>
      <c r="H66" s="1034"/>
      <c r="I66" s="1030"/>
      <c r="J66" s="1030"/>
      <c r="K66" s="1030"/>
      <c r="L66" s="1030"/>
      <c r="M66" s="1030"/>
      <c r="N66" s="1030"/>
      <c r="O66" s="1030"/>
      <c r="P66" s="191"/>
      <c r="Q66" s="191"/>
      <c r="R66" s="191"/>
      <c r="S66" s="191"/>
      <c r="T66" s="191"/>
      <c r="U66" s="191"/>
      <c r="V66" s="191"/>
      <c r="W66" s="191"/>
    </row>
    <row r="67" spans="1:23">
      <c r="C67" s="180"/>
      <c r="E67" s="312"/>
      <c r="F67" s="312"/>
      <c r="G67" s="311"/>
      <c r="H67" s="311"/>
      <c r="I67" s="191"/>
      <c r="J67" s="191"/>
      <c r="K67" s="191"/>
      <c r="L67" s="191"/>
      <c r="M67" s="191"/>
      <c r="N67" s="191"/>
      <c r="O67" s="191"/>
      <c r="P67" s="191"/>
      <c r="Q67" s="191"/>
      <c r="R67" s="191"/>
      <c r="S67" s="191"/>
      <c r="T67" s="191"/>
      <c r="U67" s="191"/>
      <c r="V67" s="191"/>
      <c r="W67" s="191"/>
    </row>
    <row r="68" spans="1:23">
      <c r="C68" s="180"/>
      <c r="E68" s="312"/>
      <c r="F68" s="312"/>
      <c r="G68" s="311"/>
      <c r="H68" s="311"/>
      <c r="I68" s="191"/>
      <c r="J68" s="191"/>
      <c r="K68" s="191"/>
      <c r="L68" s="191"/>
      <c r="M68" s="191"/>
      <c r="N68" s="191"/>
      <c r="O68" s="191"/>
      <c r="P68" s="191"/>
      <c r="Q68" s="191"/>
      <c r="R68" s="191"/>
      <c r="S68" s="191"/>
      <c r="T68" s="191"/>
      <c r="U68" s="191"/>
      <c r="V68" s="191"/>
      <c r="W68" s="191"/>
    </row>
    <row r="69" spans="1:23">
      <c r="C69" s="180"/>
      <c r="E69" s="312"/>
      <c r="F69" s="312"/>
      <c r="G69" s="311"/>
      <c r="H69" s="311"/>
      <c r="I69" s="191"/>
      <c r="J69" s="191"/>
      <c r="K69" s="191"/>
      <c r="L69" s="191"/>
      <c r="M69" s="191"/>
      <c r="N69" s="191"/>
      <c r="O69" s="191"/>
      <c r="P69" s="191"/>
      <c r="Q69" s="191"/>
      <c r="R69" s="191"/>
      <c r="S69" s="191"/>
      <c r="T69" s="191"/>
      <c r="U69" s="191"/>
      <c r="V69" s="191"/>
      <c r="W69" s="191"/>
    </row>
    <row r="70" spans="1:23">
      <c r="C70" s="180"/>
      <c r="D70" s="180"/>
      <c r="E70" s="312"/>
      <c r="F70" s="312"/>
      <c r="G70" s="311"/>
      <c r="H70" s="311"/>
      <c r="I70" s="191"/>
      <c r="J70" s="191"/>
      <c r="K70" s="191"/>
      <c r="L70" s="191"/>
      <c r="M70" s="191"/>
      <c r="N70" s="191"/>
      <c r="O70" s="191"/>
      <c r="P70" s="191"/>
      <c r="Q70" s="191"/>
      <c r="R70" s="191"/>
      <c r="S70" s="191"/>
      <c r="T70" s="191"/>
      <c r="U70" s="191"/>
      <c r="V70" s="191"/>
      <c r="W70" s="191"/>
    </row>
    <row r="71" spans="1:23">
      <c r="C71" s="180"/>
      <c r="D71" s="180"/>
      <c r="E71" s="312"/>
      <c r="F71" s="312"/>
      <c r="G71" s="311"/>
      <c r="H71" s="311"/>
      <c r="I71" s="191"/>
      <c r="J71" s="191"/>
      <c r="K71" s="191"/>
      <c r="L71" s="191"/>
      <c r="M71" s="191"/>
      <c r="N71" s="191"/>
      <c r="O71" s="191"/>
      <c r="P71" s="191"/>
      <c r="Q71" s="191"/>
      <c r="R71" s="191"/>
      <c r="S71" s="191"/>
      <c r="T71" s="191"/>
      <c r="U71" s="191"/>
      <c r="V71" s="191"/>
      <c r="W71" s="191"/>
    </row>
    <row r="72" spans="1:23">
      <c r="C72" s="180"/>
      <c r="D72" s="180"/>
      <c r="E72" s="312"/>
      <c r="F72" s="312"/>
      <c r="G72" s="311"/>
      <c r="H72" s="311"/>
      <c r="I72" s="191"/>
      <c r="J72" s="191"/>
      <c r="K72" s="191"/>
      <c r="L72" s="191"/>
      <c r="M72" s="191"/>
      <c r="N72" s="191"/>
      <c r="O72" s="191"/>
      <c r="P72" s="191"/>
      <c r="Q72" s="191"/>
      <c r="R72" s="191"/>
      <c r="S72" s="191"/>
      <c r="T72" s="191"/>
      <c r="U72" s="191"/>
      <c r="V72" s="191"/>
      <c r="W72" s="191"/>
    </row>
    <row r="73" spans="1:23">
      <c r="C73" s="180"/>
      <c r="D73" s="180"/>
      <c r="E73" s="312"/>
      <c r="F73" s="312"/>
      <c r="G73" s="311"/>
      <c r="H73" s="311"/>
      <c r="I73" s="191"/>
      <c r="J73" s="191"/>
      <c r="K73" s="191"/>
      <c r="L73" s="191"/>
      <c r="M73" s="191"/>
      <c r="N73" s="191"/>
      <c r="O73" s="191"/>
      <c r="P73" s="191"/>
      <c r="Q73" s="191"/>
      <c r="R73" s="191"/>
      <c r="S73" s="191"/>
      <c r="T73" s="191"/>
      <c r="U73" s="191"/>
      <c r="V73" s="191"/>
      <c r="W73" s="191"/>
    </row>
    <row r="74" spans="1:23">
      <c r="C74" s="180"/>
      <c r="D74" s="180"/>
      <c r="E74" s="312"/>
      <c r="F74" s="312"/>
      <c r="G74" s="311"/>
      <c r="H74" s="311"/>
      <c r="I74" s="191"/>
      <c r="J74" s="191"/>
      <c r="K74" s="191"/>
      <c r="L74" s="191"/>
      <c r="M74" s="191"/>
      <c r="N74" s="191"/>
      <c r="O74" s="191"/>
      <c r="P74" s="191"/>
      <c r="Q74" s="191"/>
      <c r="R74" s="191"/>
      <c r="S74" s="191"/>
      <c r="T74" s="191"/>
      <c r="U74" s="191"/>
      <c r="V74" s="191"/>
      <c r="W74" s="191"/>
    </row>
    <row r="75" spans="1:23">
      <c r="C75" s="180"/>
      <c r="D75" s="180"/>
      <c r="E75" s="312"/>
      <c r="F75" s="312"/>
      <c r="G75" s="311"/>
      <c r="H75" s="311"/>
      <c r="I75" s="191"/>
      <c r="J75" s="191"/>
      <c r="K75" s="191"/>
      <c r="L75" s="191"/>
      <c r="M75" s="191"/>
      <c r="N75" s="191"/>
      <c r="O75" s="191"/>
      <c r="P75" s="191"/>
      <c r="Q75" s="191"/>
      <c r="R75" s="191"/>
      <c r="S75" s="191"/>
      <c r="T75" s="191"/>
      <c r="U75" s="191"/>
      <c r="V75" s="191"/>
      <c r="W75" s="191"/>
    </row>
    <row r="76" spans="1:23">
      <c r="C76" s="180"/>
      <c r="D76" s="180"/>
      <c r="E76" s="312"/>
      <c r="F76" s="312"/>
      <c r="G76" s="311"/>
      <c r="H76" s="311"/>
      <c r="I76" s="191"/>
      <c r="J76" s="191"/>
      <c r="K76" s="191"/>
      <c r="L76" s="191"/>
      <c r="M76" s="191"/>
      <c r="N76" s="191"/>
      <c r="O76" s="191"/>
      <c r="P76" s="191"/>
      <c r="Q76" s="191"/>
      <c r="R76" s="191"/>
      <c r="S76" s="191"/>
      <c r="T76" s="191"/>
      <c r="U76" s="191"/>
      <c r="V76" s="191"/>
      <c r="W76" s="191"/>
    </row>
    <row r="77" spans="1:23">
      <c r="C77" s="180"/>
      <c r="D77" s="180"/>
      <c r="E77" s="312"/>
      <c r="F77" s="312"/>
      <c r="G77" s="311"/>
      <c r="H77" s="311"/>
      <c r="I77" s="191"/>
      <c r="J77" s="191"/>
      <c r="K77" s="191"/>
      <c r="L77" s="191"/>
      <c r="M77" s="191"/>
      <c r="N77" s="191"/>
      <c r="O77" s="191"/>
      <c r="P77" s="191"/>
      <c r="Q77" s="191"/>
      <c r="R77" s="191"/>
      <c r="S77" s="191"/>
      <c r="T77" s="191"/>
      <c r="U77" s="191"/>
      <c r="V77" s="191"/>
      <c r="W77" s="191"/>
    </row>
    <row r="78" spans="1:23">
      <c r="C78" s="180"/>
      <c r="D78" s="180"/>
      <c r="E78" s="312"/>
      <c r="F78" s="312"/>
      <c r="G78" s="311"/>
      <c r="H78" s="311"/>
      <c r="I78" s="191"/>
      <c r="J78" s="191"/>
      <c r="K78" s="191"/>
      <c r="L78" s="191"/>
      <c r="M78" s="191"/>
      <c r="N78" s="191"/>
      <c r="O78" s="191"/>
      <c r="P78" s="191"/>
      <c r="Q78" s="191"/>
      <c r="R78" s="191"/>
      <c r="S78" s="191"/>
      <c r="T78" s="191"/>
      <c r="U78" s="191"/>
      <c r="V78" s="191"/>
      <c r="W78" s="191"/>
    </row>
    <row r="79" spans="1:23">
      <c r="C79" s="180"/>
      <c r="D79" s="180"/>
      <c r="E79" s="312"/>
      <c r="F79" s="312"/>
      <c r="G79" s="311"/>
      <c r="H79" s="311"/>
      <c r="I79" s="191"/>
      <c r="J79" s="191"/>
      <c r="K79" s="191"/>
      <c r="L79" s="191"/>
      <c r="M79" s="191"/>
      <c r="N79" s="191"/>
      <c r="O79" s="191"/>
      <c r="P79" s="191"/>
      <c r="Q79" s="191"/>
      <c r="R79" s="191"/>
      <c r="S79" s="191"/>
      <c r="T79" s="191"/>
      <c r="U79" s="191"/>
      <c r="V79" s="191"/>
      <c r="W79" s="191"/>
    </row>
    <row r="80" spans="1:23">
      <c r="C80" s="180"/>
      <c r="D80" s="180"/>
      <c r="E80" s="312"/>
      <c r="F80" s="312"/>
      <c r="G80" s="311"/>
      <c r="H80" s="311"/>
      <c r="I80" s="191"/>
      <c r="J80" s="191"/>
      <c r="K80" s="191"/>
      <c r="L80" s="191"/>
      <c r="M80" s="191"/>
      <c r="N80" s="191"/>
      <c r="O80" s="191"/>
      <c r="P80" s="191"/>
      <c r="Q80" s="191"/>
      <c r="R80" s="191"/>
      <c r="S80" s="191"/>
      <c r="T80" s="191"/>
      <c r="U80" s="191"/>
      <c r="V80" s="191"/>
      <c r="W80" s="191"/>
    </row>
    <row r="81" spans="3:23">
      <c r="C81" s="180"/>
      <c r="D81" s="180"/>
      <c r="E81" s="312"/>
      <c r="F81" s="312"/>
      <c r="G81" s="311"/>
      <c r="H81" s="311"/>
      <c r="I81" s="191"/>
      <c r="J81" s="191"/>
      <c r="K81" s="191"/>
      <c r="L81" s="191"/>
      <c r="M81" s="191"/>
      <c r="N81" s="191"/>
      <c r="O81" s="191"/>
      <c r="P81" s="191"/>
      <c r="Q81" s="191"/>
      <c r="R81" s="191"/>
      <c r="S81" s="191"/>
      <c r="T81" s="191"/>
      <c r="U81" s="191"/>
      <c r="V81" s="191"/>
      <c r="W81" s="191"/>
    </row>
    <row r="82" spans="3:23">
      <c r="C82" s="180"/>
      <c r="D82" s="180"/>
      <c r="E82" s="312"/>
      <c r="F82" s="312"/>
      <c r="G82" s="311"/>
      <c r="H82" s="311"/>
      <c r="I82" s="191"/>
      <c r="J82" s="191"/>
      <c r="K82" s="191"/>
      <c r="L82" s="191"/>
      <c r="M82" s="191"/>
      <c r="N82" s="191"/>
      <c r="O82" s="191"/>
      <c r="P82" s="191"/>
      <c r="Q82" s="191"/>
      <c r="R82" s="191"/>
      <c r="S82" s="191"/>
      <c r="T82" s="191"/>
      <c r="U82" s="191"/>
      <c r="V82" s="191"/>
      <c r="W82" s="191"/>
    </row>
    <row r="83" spans="3:23">
      <c r="C83" s="180"/>
      <c r="D83" s="180"/>
      <c r="E83" s="312"/>
      <c r="F83" s="312"/>
      <c r="G83" s="311"/>
      <c r="H83" s="311"/>
      <c r="I83" s="191"/>
      <c r="J83" s="191"/>
      <c r="K83" s="191"/>
      <c r="L83" s="191"/>
      <c r="M83" s="191"/>
      <c r="N83" s="191"/>
      <c r="O83" s="191"/>
      <c r="P83" s="191"/>
      <c r="Q83" s="191"/>
      <c r="R83" s="191"/>
      <c r="S83" s="191"/>
      <c r="T83" s="191"/>
      <c r="U83" s="191"/>
      <c r="V83" s="191"/>
      <c r="W83" s="191"/>
    </row>
    <row r="84" spans="3:23">
      <c r="C84" s="180"/>
      <c r="D84" s="180"/>
      <c r="E84" s="312"/>
      <c r="F84" s="312"/>
      <c r="G84" s="311"/>
      <c r="H84" s="311"/>
      <c r="I84" s="191"/>
      <c r="J84" s="191"/>
      <c r="K84" s="191"/>
      <c r="L84" s="191"/>
      <c r="M84" s="191"/>
      <c r="N84" s="191"/>
      <c r="O84" s="191"/>
      <c r="P84" s="191"/>
      <c r="Q84" s="191"/>
      <c r="R84" s="191"/>
      <c r="S84" s="191"/>
      <c r="T84" s="191"/>
      <c r="U84" s="191"/>
      <c r="V84" s="191"/>
      <c r="W84" s="191"/>
    </row>
    <row r="85" spans="3:23">
      <c r="C85" s="180"/>
      <c r="D85" s="180"/>
      <c r="E85" s="312"/>
      <c r="F85" s="312"/>
      <c r="G85" s="311"/>
      <c r="H85" s="311"/>
      <c r="I85" s="191"/>
      <c r="J85" s="191"/>
      <c r="K85" s="191"/>
      <c r="L85" s="191"/>
      <c r="M85" s="191"/>
      <c r="N85" s="191"/>
      <c r="O85" s="191"/>
      <c r="P85" s="191"/>
      <c r="Q85" s="191"/>
      <c r="R85" s="191"/>
      <c r="S85" s="191"/>
      <c r="T85" s="191"/>
      <c r="U85" s="191"/>
      <c r="V85" s="191"/>
      <c r="W85" s="191"/>
    </row>
    <row r="86" spans="3:23">
      <c r="C86" s="180"/>
      <c r="D86" s="180"/>
      <c r="E86" s="312"/>
      <c r="F86" s="312"/>
      <c r="G86" s="311"/>
      <c r="H86" s="311"/>
      <c r="I86" s="191"/>
      <c r="J86" s="191"/>
      <c r="K86" s="191"/>
      <c r="L86" s="191"/>
      <c r="M86" s="191"/>
      <c r="N86" s="191"/>
      <c r="O86" s="191"/>
      <c r="P86" s="191"/>
      <c r="Q86" s="191"/>
      <c r="R86" s="191"/>
      <c r="S86" s="191"/>
      <c r="T86" s="191"/>
      <c r="U86" s="191"/>
      <c r="V86" s="191"/>
      <c r="W86" s="191"/>
    </row>
    <row r="87" spans="3:23">
      <c r="C87" s="180"/>
      <c r="D87" s="180"/>
      <c r="E87" s="312"/>
      <c r="F87" s="312"/>
      <c r="G87" s="311"/>
      <c r="H87" s="311"/>
      <c r="I87" s="191"/>
      <c r="J87" s="191"/>
      <c r="K87" s="191"/>
      <c r="L87" s="191"/>
      <c r="M87" s="191"/>
      <c r="N87" s="191"/>
      <c r="O87" s="191"/>
      <c r="P87" s="191"/>
      <c r="Q87" s="191"/>
      <c r="R87" s="191"/>
      <c r="S87" s="191"/>
      <c r="T87" s="191"/>
      <c r="U87" s="191"/>
      <c r="V87" s="191"/>
      <c r="W87" s="191"/>
    </row>
    <row r="88" spans="3:23">
      <c r="C88" s="180"/>
      <c r="D88" s="180"/>
      <c r="E88" s="312"/>
      <c r="F88" s="312"/>
      <c r="G88" s="311"/>
      <c r="H88" s="311"/>
      <c r="I88" s="191"/>
      <c r="J88" s="191"/>
      <c r="K88" s="191"/>
      <c r="L88" s="191"/>
      <c r="M88" s="191"/>
      <c r="N88" s="191"/>
      <c r="O88" s="191"/>
      <c r="P88" s="191"/>
      <c r="Q88" s="191"/>
      <c r="R88" s="191"/>
      <c r="S88" s="191"/>
      <c r="T88" s="191"/>
      <c r="U88" s="191"/>
      <c r="V88" s="191"/>
      <c r="W88" s="191"/>
    </row>
    <row r="89" spans="3:23">
      <c r="C89" s="180"/>
      <c r="D89" s="180"/>
      <c r="E89" s="312"/>
      <c r="F89" s="312"/>
      <c r="G89" s="311"/>
      <c r="H89" s="311"/>
      <c r="I89" s="191"/>
      <c r="J89" s="191"/>
      <c r="K89" s="191"/>
      <c r="L89" s="191"/>
      <c r="M89" s="191"/>
      <c r="N89" s="191"/>
      <c r="O89" s="191"/>
      <c r="P89" s="191"/>
      <c r="Q89" s="191"/>
      <c r="R89" s="191"/>
      <c r="S89" s="191"/>
      <c r="T89" s="191"/>
      <c r="U89" s="191"/>
      <c r="V89" s="191"/>
      <c r="W89" s="191"/>
    </row>
    <row r="90" spans="3:23">
      <c r="C90" s="180"/>
      <c r="D90" s="180"/>
      <c r="E90" s="312"/>
      <c r="F90" s="312"/>
      <c r="G90" s="311"/>
      <c r="H90" s="311"/>
      <c r="I90" s="191"/>
      <c r="J90" s="191"/>
      <c r="K90" s="191"/>
      <c r="L90" s="191"/>
      <c r="M90" s="191"/>
      <c r="N90" s="191"/>
      <c r="O90" s="191"/>
      <c r="P90" s="191"/>
      <c r="Q90" s="191"/>
      <c r="R90" s="191"/>
      <c r="S90" s="191"/>
      <c r="T90" s="191"/>
      <c r="U90" s="191"/>
      <c r="V90" s="191"/>
      <c r="W90" s="191"/>
    </row>
    <row r="91" spans="3:23">
      <c r="C91" s="180"/>
      <c r="D91" s="180"/>
      <c r="E91" s="312"/>
      <c r="F91" s="312"/>
      <c r="G91" s="311"/>
      <c r="H91" s="311"/>
      <c r="I91" s="191"/>
      <c r="J91" s="191"/>
      <c r="K91" s="191"/>
      <c r="L91" s="191"/>
      <c r="M91" s="191"/>
      <c r="N91" s="191"/>
      <c r="O91" s="191"/>
      <c r="P91" s="191"/>
      <c r="Q91" s="191"/>
      <c r="R91" s="191"/>
      <c r="S91" s="191"/>
      <c r="T91" s="191"/>
      <c r="U91" s="191"/>
      <c r="V91" s="191"/>
      <c r="W91" s="191"/>
    </row>
    <row r="92" spans="3:23">
      <c r="C92" s="180"/>
      <c r="D92" s="180"/>
      <c r="E92" s="312"/>
      <c r="F92" s="312"/>
      <c r="G92" s="311"/>
      <c r="H92" s="311"/>
      <c r="I92" s="191"/>
      <c r="J92" s="191"/>
      <c r="K92" s="191"/>
      <c r="L92" s="191"/>
      <c r="M92" s="191"/>
      <c r="N92" s="191"/>
      <c r="O92" s="191"/>
      <c r="P92" s="191"/>
      <c r="Q92" s="191"/>
      <c r="R92" s="191"/>
      <c r="S92" s="191"/>
      <c r="T92" s="191"/>
      <c r="U92" s="191"/>
      <c r="V92" s="191"/>
      <c r="W92" s="191"/>
    </row>
    <row r="93" spans="3:23">
      <c r="C93" s="180"/>
      <c r="D93" s="180"/>
      <c r="E93" s="312"/>
      <c r="F93" s="312"/>
      <c r="G93" s="311"/>
      <c r="H93" s="311"/>
      <c r="I93" s="191"/>
      <c r="J93" s="191"/>
      <c r="K93" s="191"/>
      <c r="L93" s="191"/>
      <c r="M93" s="191"/>
      <c r="N93" s="191"/>
      <c r="O93" s="191"/>
      <c r="P93" s="191"/>
      <c r="Q93" s="191"/>
      <c r="R93" s="191"/>
      <c r="S93" s="191"/>
      <c r="T93" s="191"/>
      <c r="U93" s="191"/>
      <c r="V93" s="191"/>
      <c r="W93" s="191"/>
    </row>
    <row r="94" spans="3:23">
      <c r="C94" s="180"/>
      <c r="D94" s="180"/>
      <c r="E94" s="312"/>
      <c r="F94" s="312"/>
      <c r="G94" s="311"/>
      <c r="H94" s="311"/>
      <c r="I94" s="191"/>
      <c r="J94" s="191"/>
      <c r="K94" s="191"/>
      <c r="L94" s="191"/>
      <c r="M94" s="191"/>
      <c r="N94" s="191"/>
      <c r="O94" s="191"/>
      <c r="P94" s="191"/>
      <c r="Q94" s="191"/>
      <c r="R94" s="191"/>
      <c r="S94" s="191"/>
      <c r="T94" s="191"/>
      <c r="U94" s="191"/>
      <c r="V94" s="191"/>
      <c r="W94" s="191"/>
    </row>
    <row r="95" spans="3:23">
      <c r="C95" s="180"/>
      <c r="D95" s="180"/>
      <c r="E95" s="312"/>
      <c r="F95" s="312"/>
      <c r="G95" s="311"/>
      <c r="H95" s="311"/>
      <c r="I95" s="191"/>
      <c r="J95" s="191"/>
      <c r="K95" s="191"/>
      <c r="L95" s="191"/>
      <c r="M95" s="191"/>
      <c r="N95" s="191"/>
      <c r="O95" s="191"/>
      <c r="P95" s="191"/>
      <c r="Q95" s="191"/>
      <c r="R95" s="191"/>
      <c r="S95" s="191"/>
      <c r="T95" s="191"/>
      <c r="U95" s="191"/>
      <c r="V95" s="191"/>
      <c r="W95" s="191"/>
    </row>
    <row r="96" spans="3:23">
      <c r="C96" s="180"/>
      <c r="D96" s="180"/>
      <c r="E96" s="312"/>
      <c r="F96" s="312"/>
      <c r="G96" s="311"/>
      <c r="H96" s="311"/>
      <c r="I96" s="191"/>
      <c r="J96" s="191"/>
      <c r="K96" s="191"/>
      <c r="L96" s="191"/>
      <c r="M96" s="191"/>
      <c r="N96" s="191"/>
      <c r="O96" s="191"/>
      <c r="P96" s="191"/>
      <c r="Q96" s="191"/>
      <c r="R96" s="191"/>
      <c r="S96" s="191"/>
      <c r="T96" s="191"/>
      <c r="U96" s="191"/>
      <c r="V96" s="191"/>
      <c r="W96" s="191"/>
    </row>
    <row r="97" spans="3:23">
      <c r="C97" s="180"/>
      <c r="D97" s="180"/>
      <c r="E97" s="312"/>
      <c r="F97" s="312"/>
      <c r="G97" s="311"/>
      <c r="H97" s="311"/>
      <c r="I97" s="191"/>
      <c r="J97" s="191"/>
      <c r="K97" s="191"/>
      <c r="L97" s="191"/>
      <c r="M97" s="191"/>
      <c r="N97" s="191"/>
      <c r="O97" s="191"/>
      <c r="P97" s="191"/>
      <c r="Q97" s="191"/>
      <c r="R97" s="191"/>
      <c r="S97" s="191"/>
      <c r="T97" s="191"/>
      <c r="U97" s="191"/>
      <c r="V97" s="191"/>
      <c r="W97" s="191"/>
    </row>
    <row r="98" spans="3:23">
      <c r="C98" s="180"/>
      <c r="D98" s="180"/>
      <c r="E98" s="312"/>
      <c r="F98" s="312"/>
      <c r="G98" s="311"/>
      <c r="H98" s="311"/>
      <c r="I98" s="191"/>
      <c r="J98" s="191"/>
      <c r="K98" s="191"/>
      <c r="L98" s="191"/>
      <c r="M98" s="191"/>
      <c r="N98" s="191"/>
      <c r="O98" s="191"/>
      <c r="P98" s="191"/>
      <c r="Q98" s="191"/>
      <c r="R98" s="191"/>
      <c r="S98" s="191"/>
      <c r="T98" s="191"/>
      <c r="U98" s="191"/>
      <c r="V98" s="191"/>
      <c r="W98" s="191"/>
    </row>
    <row r="99" spans="3:23">
      <c r="C99" s="180"/>
      <c r="D99" s="180"/>
      <c r="E99" s="312"/>
      <c r="F99" s="312"/>
      <c r="G99" s="311"/>
      <c r="H99" s="311"/>
      <c r="I99" s="191"/>
      <c r="J99" s="191"/>
      <c r="K99" s="191"/>
      <c r="L99" s="191"/>
      <c r="M99" s="191"/>
      <c r="N99" s="191"/>
      <c r="O99" s="191"/>
      <c r="P99" s="191"/>
      <c r="Q99" s="191"/>
      <c r="R99" s="191"/>
      <c r="S99" s="191"/>
      <c r="T99" s="191"/>
      <c r="U99" s="191"/>
      <c r="V99" s="191"/>
      <c r="W99" s="191"/>
    </row>
    <row r="100" spans="3:23">
      <c r="C100" s="180"/>
      <c r="D100" s="180"/>
      <c r="E100" s="312"/>
      <c r="F100" s="312"/>
      <c r="G100" s="311"/>
      <c r="H100" s="311"/>
      <c r="I100" s="191"/>
      <c r="J100" s="191"/>
      <c r="K100" s="191"/>
      <c r="L100" s="191"/>
      <c r="M100" s="191"/>
      <c r="N100" s="191"/>
      <c r="O100" s="191"/>
      <c r="P100" s="191"/>
      <c r="Q100" s="191"/>
      <c r="R100" s="191"/>
      <c r="S100" s="191"/>
      <c r="T100" s="191"/>
      <c r="U100" s="191"/>
      <c r="V100" s="191"/>
      <c r="W100" s="191"/>
    </row>
    <row r="101" spans="3:23">
      <c r="C101" s="180"/>
      <c r="D101" s="180"/>
      <c r="E101" s="312"/>
      <c r="F101" s="312"/>
      <c r="G101" s="311"/>
      <c r="H101" s="311"/>
      <c r="I101" s="191"/>
      <c r="J101" s="191"/>
      <c r="K101" s="191"/>
      <c r="L101" s="191"/>
      <c r="M101" s="191"/>
      <c r="N101" s="191"/>
      <c r="O101" s="191"/>
      <c r="P101" s="191"/>
      <c r="Q101" s="191"/>
      <c r="R101" s="191"/>
      <c r="S101" s="191"/>
      <c r="T101" s="191"/>
      <c r="U101" s="191"/>
      <c r="V101" s="191"/>
      <c r="W101" s="191"/>
    </row>
    <row r="102" spans="3:23">
      <c r="C102" s="180"/>
      <c r="D102" s="180"/>
      <c r="E102" s="312"/>
      <c r="F102" s="312"/>
      <c r="G102" s="311"/>
      <c r="H102" s="311"/>
      <c r="I102" s="191"/>
      <c r="J102" s="191"/>
      <c r="K102" s="191"/>
      <c r="L102" s="191"/>
      <c r="M102" s="191"/>
      <c r="N102" s="191"/>
      <c r="O102" s="191"/>
      <c r="P102" s="191"/>
      <c r="Q102" s="191"/>
      <c r="R102" s="191"/>
      <c r="S102" s="191"/>
      <c r="T102" s="191"/>
      <c r="U102" s="191"/>
      <c r="V102" s="191"/>
      <c r="W102" s="191"/>
    </row>
    <row r="103" spans="3:23">
      <c r="C103" s="180"/>
      <c r="D103" s="180"/>
      <c r="E103" s="312"/>
      <c r="F103" s="312"/>
      <c r="G103" s="311"/>
      <c r="H103" s="311"/>
      <c r="I103" s="191"/>
      <c r="J103" s="191"/>
      <c r="K103" s="191"/>
      <c r="L103" s="191"/>
      <c r="M103" s="191"/>
      <c r="N103" s="191"/>
      <c r="O103" s="191"/>
      <c r="P103" s="191"/>
      <c r="Q103" s="191"/>
      <c r="R103" s="191"/>
      <c r="S103" s="191"/>
      <c r="T103" s="191"/>
      <c r="U103" s="191"/>
      <c r="V103" s="191"/>
      <c r="W103" s="191"/>
    </row>
    <row r="104" spans="3:23">
      <c r="C104" s="180"/>
      <c r="D104" s="180"/>
      <c r="E104" s="312"/>
      <c r="F104" s="312"/>
      <c r="G104" s="311"/>
      <c r="H104" s="311"/>
      <c r="I104" s="191"/>
      <c r="J104" s="191"/>
      <c r="K104" s="191"/>
      <c r="L104" s="191"/>
      <c r="M104" s="191"/>
      <c r="N104" s="191"/>
      <c r="O104" s="191"/>
      <c r="P104" s="191"/>
      <c r="Q104" s="191"/>
      <c r="R104" s="191"/>
      <c r="S104" s="191"/>
      <c r="T104" s="191"/>
      <c r="U104" s="191"/>
      <c r="V104" s="191"/>
      <c r="W104" s="191"/>
    </row>
    <row r="105" spans="3:23">
      <c r="C105" s="180"/>
      <c r="D105" s="180"/>
      <c r="E105" s="312"/>
      <c r="F105" s="312"/>
      <c r="G105" s="311"/>
      <c r="H105" s="311"/>
      <c r="I105" s="191"/>
      <c r="J105" s="191"/>
      <c r="K105" s="191"/>
      <c r="L105" s="191"/>
      <c r="M105" s="191"/>
      <c r="N105" s="191"/>
      <c r="O105" s="191"/>
      <c r="P105" s="191"/>
      <c r="Q105" s="191"/>
      <c r="R105" s="191"/>
      <c r="S105" s="191"/>
      <c r="T105" s="191"/>
      <c r="U105" s="191"/>
      <c r="V105" s="191"/>
      <c r="W105" s="191"/>
    </row>
    <row r="106" spans="3:23">
      <c r="C106" s="180"/>
      <c r="D106" s="180"/>
      <c r="E106" s="312"/>
      <c r="F106" s="312"/>
      <c r="G106" s="311"/>
      <c r="H106" s="311"/>
      <c r="I106" s="191"/>
      <c r="J106" s="191"/>
      <c r="K106" s="191"/>
      <c r="L106" s="191"/>
      <c r="M106" s="191"/>
      <c r="N106" s="191"/>
      <c r="O106" s="191"/>
      <c r="P106" s="191"/>
      <c r="Q106" s="191"/>
      <c r="R106" s="191"/>
      <c r="S106" s="191"/>
      <c r="T106" s="191"/>
      <c r="U106" s="191"/>
      <c r="V106" s="191"/>
      <c r="W106" s="191"/>
    </row>
    <row r="107" spans="3:23">
      <c r="C107" s="180"/>
      <c r="D107" s="180"/>
      <c r="E107" s="312"/>
      <c r="F107" s="312"/>
      <c r="G107" s="311"/>
      <c r="H107" s="311"/>
      <c r="I107" s="191"/>
      <c r="J107" s="191"/>
      <c r="K107" s="191"/>
      <c r="L107" s="191"/>
      <c r="M107" s="191"/>
      <c r="N107" s="191"/>
      <c r="O107" s="191"/>
      <c r="P107" s="191"/>
      <c r="Q107" s="191"/>
      <c r="R107" s="191"/>
      <c r="S107" s="191"/>
      <c r="T107" s="191"/>
      <c r="U107" s="191"/>
      <c r="V107" s="191"/>
      <c r="W107" s="191"/>
    </row>
    <row r="108" spans="3:23">
      <c r="C108" s="180"/>
      <c r="D108" s="180"/>
      <c r="E108" s="312"/>
      <c r="F108" s="312"/>
      <c r="G108" s="311"/>
      <c r="H108" s="311"/>
      <c r="I108" s="191"/>
      <c r="J108" s="191"/>
      <c r="K108" s="191"/>
      <c r="L108" s="191"/>
      <c r="M108" s="191"/>
      <c r="N108" s="191"/>
      <c r="O108" s="191"/>
      <c r="P108" s="191"/>
      <c r="Q108" s="191"/>
      <c r="R108" s="191"/>
      <c r="S108" s="191"/>
      <c r="T108" s="191"/>
      <c r="U108" s="191"/>
      <c r="V108" s="191"/>
      <c r="W108" s="191"/>
    </row>
    <row r="109" spans="3:23">
      <c r="C109" s="180"/>
      <c r="D109" s="180"/>
      <c r="E109" s="312"/>
      <c r="F109" s="312"/>
      <c r="G109" s="311"/>
      <c r="H109" s="311"/>
      <c r="I109" s="191"/>
      <c r="J109" s="191"/>
      <c r="K109" s="191"/>
      <c r="L109" s="191"/>
      <c r="M109" s="191"/>
      <c r="N109" s="191"/>
      <c r="O109" s="191"/>
      <c r="P109" s="191"/>
      <c r="Q109" s="191"/>
      <c r="R109" s="191"/>
      <c r="S109" s="191"/>
      <c r="T109" s="191"/>
      <c r="U109" s="191"/>
      <c r="V109" s="191"/>
      <c r="W109" s="191"/>
    </row>
    <row r="110" spans="3:23">
      <c r="C110" s="180"/>
      <c r="D110" s="180"/>
      <c r="E110" s="312"/>
      <c r="F110" s="312"/>
      <c r="G110" s="311"/>
      <c r="H110" s="311"/>
      <c r="I110" s="191"/>
      <c r="J110" s="191"/>
      <c r="K110" s="191"/>
      <c r="L110" s="191"/>
      <c r="M110" s="191"/>
      <c r="N110" s="191"/>
      <c r="O110" s="191"/>
      <c r="P110" s="191"/>
      <c r="Q110" s="191"/>
      <c r="R110" s="191"/>
      <c r="S110" s="191"/>
      <c r="T110" s="191"/>
      <c r="U110" s="191"/>
      <c r="V110" s="191"/>
      <c r="W110" s="191"/>
    </row>
    <row r="111" spans="3:23">
      <c r="C111" s="180"/>
      <c r="D111" s="180"/>
      <c r="E111" s="312"/>
      <c r="F111" s="312"/>
      <c r="G111" s="311"/>
      <c r="H111" s="311"/>
      <c r="I111" s="191"/>
      <c r="J111" s="191"/>
      <c r="K111" s="191"/>
      <c r="L111" s="191"/>
      <c r="M111" s="191"/>
      <c r="N111" s="191"/>
      <c r="O111" s="191"/>
      <c r="P111" s="191"/>
      <c r="Q111" s="191"/>
      <c r="R111" s="191"/>
      <c r="S111" s="191"/>
      <c r="T111" s="191"/>
      <c r="U111" s="191"/>
      <c r="V111" s="191"/>
      <c r="W111" s="191"/>
    </row>
    <row r="112" spans="3:23">
      <c r="C112" s="180"/>
      <c r="D112" s="180"/>
      <c r="E112" s="312"/>
      <c r="F112" s="312"/>
      <c r="G112" s="311"/>
      <c r="H112" s="311"/>
      <c r="I112" s="191"/>
      <c r="J112" s="191"/>
      <c r="K112" s="191"/>
      <c r="L112" s="191"/>
      <c r="M112" s="191"/>
      <c r="N112" s="191"/>
      <c r="O112" s="191"/>
      <c r="P112" s="191"/>
      <c r="Q112" s="191"/>
      <c r="R112" s="191"/>
      <c r="S112" s="191"/>
      <c r="T112" s="191"/>
      <c r="U112" s="191"/>
      <c r="V112" s="191"/>
      <c r="W112" s="191"/>
    </row>
    <row r="113" spans="3:23">
      <c r="C113" s="180"/>
      <c r="D113" s="180"/>
      <c r="E113" s="312"/>
      <c r="F113" s="312"/>
      <c r="G113" s="311"/>
      <c r="H113" s="311"/>
      <c r="I113" s="191"/>
      <c r="J113" s="191"/>
      <c r="K113" s="191"/>
      <c r="L113" s="191"/>
      <c r="M113" s="191"/>
      <c r="N113" s="191"/>
      <c r="O113" s="191"/>
      <c r="P113" s="191"/>
      <c r="Q113" s="191"/>
      <c r="R113" s="191"/>
      <c r="S113" s="191"/>
      <c r="T113" s="191"/>
      <c r="U113" s="191"/>
      <c r="V113" s="191"/>
      <c r="W113" s="191"/>
    </row>
    <row r="114" spans="3:23">
      <c r="C114" s="180"/>
      <c r="D114" s="180"/>
      <c r="E114" s="312"/>
      <c r="F114" s="312"/>
      <c r="G114" s="311"/>
      <c r="H114" s="311"/>
      <c r="I114" s="191"/>
      <c r="J114" s="191"/>
      <c r="K114" s="191"/>
      <c r="L114" s="191"/>
      <c r="M114" s="191"/>
      <c r="N114" s="191"/>
      <c r="O114" s="191"/>
      <c r="P114" s="191"/>
      <c r="Q114" s="191"/>
      <c r="R114" s="191"/>
      <c r="S114" s="191"/>
      <c r="T114" s="191"/>
      <c r="U114" s="191"/>
      <c r="V114" s="191"/>
      <c r="W114" s="191"/>
    </row>
    <row r="115" spans="3:23">
      <c r="C115" s="180"/>
      <c r="D115" s="180"/>
      <c r="E115" s="312"/>
      <c r="F115" s="312"/>
      <c r="G115" s="311"/>
      <c r="H115" s="311"/>
      <c r="I115" s="191"/>
      <c r="J115" s="191"/>
      <c r="K115" s="191"/>
      <c r="L115" s="191"/>
      <c r="M115" s="191"/>
      <c r="N115" s="191"/>
      <c r="O115" s="191"/>
      <c r="P115" s="191"/>
      <c r="Q115" s="191"/>
      <c r="R115" s="191"/>
      <c r="S115" s="191"/>
      <c r="T115" s="191"/>
      <c r="U115" s="191"/>
      <c r="V115" s="191"/>
      <c r="W115" s="191"/>
    </row>
    <row r="116" spans="3:23">
      <c r="C116" s="180"/>
      <c r="D116" s="180"/>
      <c r="E116" s="312"/>
      <c r="F116" s="312"/>
      <c r="G116" s="311"/>
      <c r="H116" s="311"/>
      <c r="I116" s="191"/>
      <c r="J116" s="191"/>
      <c r="K116" s="191"/>
      <c r="L116" s="191"/>
      <c r="M116" s="191"/>
      <c r="N116" s="191"/>
      <c r="O116" s="191"/>
      <c r="P116" s="191"/>
      <c r="Q116" s="191"/>
      <c r="R116" s="191"/>
      <c r="S116" s="191"/>
      <c r="T116" s="191"/>
      <c r="U116" s="191"/>
      <c r="V116" s="191"/>
      <c r="W116" s="191"/>
    </row>
    <row r="117" spans="3:23">
      <c r="C117" s="180"/>
      <c r="D117" s="180"/>
      <c r="E117" s="312"/>
      <c r="F117" s="312"/>
      <c r="G117" s="311"/>
      <c r="H117" s="311"/>
      <c r="I117" s="191"/>
      <c r="J117" s="191"/>
      <c r="K117" s="191"/>
      <c r="L117" s="191"/>
      <c r="M117" s="191"/>
      <c r="N117" s="191"/>
      <c r="O117" s="191"/>
      <c r="P117" s="191"/>
      <c r="Q117" s="191"/>
      <c r="R117" s="191"/>
      <c r="S117" s="191"/>
      <c r="T117" s="191"/>
      <c r="U117" s="191"/>
      <c r="V117" s="191"/>
      <c r="W117" s="191"/>
    </row>
    <row r="118" spans="3:23">
      <c r="C118" s="180"/>
      <c r="D118" s="180"/>
      <c r="E118" s="312"/>
      <c r="F118" s="312"/>
      <c r="G118" s="311"/>
      <c r="H118" s="311"/>
      <c r="I118" s="191"/>
      <c r="J118" s="191"/>
      <c r="K118" s="191"/>
      <c r="L118" s="191"/>
      <c r="M118" s="191"/>
      <c r="N118" s="191"/>
      <c r="O118" s="191"/>
      <c r="P118" s="191"/>
      <c r="Q118" s="191"/>
      <c r="R118" s="191"/>
      <c r="S118" s="191"/>
      <c r="T118" s="191"/>
      <c r="U118" s="191"/>
      <c r="V118" s="191"/>
      <c r="W118" s="191"/>
    </row>
    <row r="119" spans="3:23">
      <c r="C119" s="180"/>
      <c r="D119" s="180"/>
      <c r="E119" s="312"/>
      <c r="F119" s="312"/>
      <c r="G119" s="311"/>
      <c r="H119" s="311"/>
      <c r="I119" s="191"/>
      <c r="J119" s="191"/>
      <c r="K119" s="191"/>
      <c r="L119" s="191"/>
      <c r="M119" s="191"/>
      <c r="N119" s="191"/>
      <c r="O119" s="191"/>
      <c r="P119" s="191"/>
      <c r="Q119" s="191"/>
      <c r="R119" s="191"/>
      <c r="S119" s="191"/>
      <c r="T119" s="191"/>
      <c r="U119" s="191"/>
      <c r="V119" s="191"/>
      <c r="W119" s="191"/>
    </row>
    <row r="120" spans="3:23">
      <c r="C120" s="180"/>
      <c r="D120" s="180"/>
      <c r="E120" s="312"/>
      <c r="F120" s="312"/>
      <c r="G120" s="311"/>
      <c r="H120" s="311"/>
      <c r="I120" s="191"/>
      <c r="J120" s="191"/>
      <c r="K120" s="191"/>
      <c r="L120" s="191"/>
      <c r="M120" s="191"/>
      <c r="N120" s="191"/>
      <c r="O120" s="191"/>
      <c r="P120" s="191"/>
      <c r="Q120" s="191"/>
      <c r="R120" s="191"/>
      <c r="S120" s="191"/>
      <c r="T120" s="191"/>
      <c r="U120" s="191"/>
      <c r="V120" s="191"/>
      <c r="W120" s="191"/>
    </row>
    <row r="121" spans="3:23">
      <c r="C121" s="180"/>
      <c r="D121" s="180"/>
      <c r="E121" s="312"/>
      <c r="F121" s="312"/>
      <c r="G121" s="311"/>
      <c r="H121" s="311"/>
      <c r="I121" s="191"/>
      <c r="J121" s="191"/>
      <c r="K121" s="191"/>
      <c r="L121" s="191"/>
      <c r="M121" s="191"/>
      <c r="N121" s="191"/>
      <c r="O121" s="191"/>
      <c r="P121" s="191"/>
      <c r="Q121" s="191"/>
      <c r="R121" s="191"/>
      <c r="S121" s="191"/>
      <c r="T121" s="191"/>
      <c r="U121" s="191"/>
      <c r="V121" s="191"/>
      <c r="W121" s="191"/>
    </row>
    <row r="122" spans="3:23">
      <c r="C122" s="180"/>
      <c r="D122" s="180"/>
      <c r="E122" s="312"/>
      <c r="F122" s="312"/>
      <c r="G122" s="311"/>
      <c r="H122" s="311"/>
      <c r="I122" s="191"/>
      <c r="J122" s="191"/>
      <c r="K122" s="191"/>
      <c r="L122" s="191"/>
      <c r="M122" s="191"/>
      <c r="N122" s="191"/>
      <c r="O122" s="191"/>
      <c r="P122" s="191"/>
      <c r="Q122" s="191"/>
      <c r="R122" s="191"/>
      <c r="S122" s="191"/>
      <c r="T122" s="191"/>
      <c r="U122" s="191"/>
      <c r="V122" s="191"/>
      <c r="W122" s="191"/>
    </row>
    <row r="123" spans="3:23">
      <c r="C123" s="180"/>
      <c r="D123" s="180"/>
      <c r="E123" s="312"/>
      <c r="F123" s="312"/>
      <c r="G123" s="311"/>
      <c r="H123" s="311"/>
      <c r="I123" s="191"/>
      <c r="J123" s="191"/>
      <c r="K123" s="191"/>
      <c r="L123" s="191"/>
      <c r="M123" s="191"/>
      <c r="N123" s="191"/>
      <c r="O123" s="191"/>
      <c r="P123" s="191"/>
      <c r="Q123" s="191"/>
      <c r="R123" s="191"/>
      <c r="S123" s="191"/>
      <c r="T123" s="191"/>
      <c r="U123" s="191"/>
      <c r="V123" s="191"/>
      <c r="W123" s="191"/>
    </row>
    <row r="124" spans="3:23">
      <c r="C124" s="180"/>
      <c r="D124" s="180"/>
      <c r="E124" s="312"/>
      <c r="F124" s="312"/>
      <c r="G124" s="311"/>
      <c r="H124" s="311"/>
      <c r="I124" s="191"/>
      <c r="J124" s="191"/>
      <c r="K124" s="191"/>
      <c r="L124" s="191"/>
      <c r="M124" s="191"/>
      <c r="N124" s="191"/>
      <c r="O124" s="191"/>
      <c r="P124" s="191"/>
      <c r="Q124" s="191"/>
      <c r="R124" s="191"/>
      <c r="S124" s="191"/>
      <c r="T124" s="191"/>
      <c r="U124" s="191"/>
      <c r="V124" s="191"/>
      <c r="W124" s="191"/>
    </row>
    <row r="125" spans="3:23">
      <c r="C125" s="180"/>
      <c r="D125" s="180"/>
      <c r="E125" s="312"/>
      <c r="F125" s="312"/>
      <c r="G125" s="311"/>
      <c r="H125" s="311"/>
      <c r="I125" s="191"/>
      <c r="J125" s="191"/>
      <c r="K125" s="191"/>
      <c r="L125" s="191"/>
      <c r="M125" s="191"/>
      <c r="N125" s="191"/>
      <c r="O125" s="191"/>
      <c r="P125" s="191"/>
      <c r="Q125" s="191"/>
      <c r="R125" s="191"/>
      <c r="S125" s="191"/>
      <c r="T125" s="191"/>
      <c r="U125" s="191"/>
      <c r="V125" s="191"/>
      <c r="W125" s="191"/>
    </row>
    <row r="126" spans="3:23">
      <c r="C126" s="180"/>
      <c r="D126" s="180"/>
      <c r="E126" s="312"/>
      <c r="F126" s="312"/>
      <c r="G126" s="311"/>
      <c r="H126" s="311"/>
      <c r="I126" s="191"/>
      <c r="J126" s="191"/>
      <c r="K126" s="191"/>
      <c r="L126" s="191"/>
      <c r="M126" s="191"/>
      <c r="N126" s="191"/>
      <c r="O126" s="191"/>
      <c r="P126" s="191"/>
      <c r="Q126" s="191"/>
      <c r="R126" s="191"/>
      <c r="S126" s="191"/>
      <c r="T126" s="191"/>
      <c r="U126" s="191"/>
      <c r="V126" s="191"/>
      <c r="W126" s="191"/>
    </row>
    <row r="127" spans="3:23">
      <c r="C127" s="180"/>
      <c r="D127" s="180"/>
      <c r="E127" s="312"/>
      <c r="F127" s="312"/>
      <c r="G127" s="311"/>
      <c r="H127" s="311"/>
      <c r="I127" s="191"/>
      <c r="J127" s="191"/>
      <c r="K127" s="191"/>
      <c r="L127" s="191"/>
      <c r="M127" s="191"/>
      <c r="N127" s="191"/>
      <c r="O127" s="191"/>
      <c r="P127" s="191"/>
      <c r="Q127" s="191"/>
      <c r="R127" s="191"/>
      <c r="S127" s="191"/>
      <c r="T127" s="191"/>
      <c r="U127" s="191"/>
      <c r="V127" s="191"/>
      <c r="W127" s="191"/>
    </row>
    <row r="128" spans="3:23">
      <c r="C128" s="180"/>
      <c r="D128" s="180"/>
      <c r="E128" s="312"/>
      <c r="F128" s="312"/>
      <c r="G128" s="311"/>
      <c r="H128" s="311"/>
      <c r="I128" s="191"/>
      <c r="J128" s="191"/>
      <c r="K128" s="191"/>
      <c r="L128" s="191"/>
      <c r="M128" s="191"/>
      <c r="N128" s="191"/>
      <c r="O128" s="191"/>
      <c r="P128" s="191"/>
      <c r="Q128" s="191"/>
      <c r="R128" s="191"/>
      <c r="S128" s="191"/>
      <c r="T128" s="191"/>
      <c r="U128" s="191"/>
      <c r="V128" s="191"/>
      <c r="W128" s="191"/>
    </row>
    <row r="129" spans="3:23">
      <c r="C129" s="180"/>
      <c r="D129" s="180"/>
      <c r="E129" s="312"/>
      <c r="F129" s="312"/>
      <c r="G129" s="311"/>
      <c r="H129" s="311"/>
      <c r="I129" s="191"/>
      <c r="J129" s="191"/>
      <c r="K129" s="191"/>
      <c r="L129" s="191"/>
      <c r="M129" s="191"/>
      <c r="N129" s="191"/>
      <c r="O129" s="191"/>
      <c r="P129" s="191"/>
      <c r="Q129" s="191"/>
      <c r="R129" s="191"/>
      <c r="S129" s="191"/>
      <c r="T129" s="191"/>
      <c r="U129" s="191"/>
      <c r="V129" s="191"/>
      <c r="W129" s="191"/>
    </row>
    <row r="130" spans="3:23">
      <c r="C130" s="180"/>
      <c r="D130" s="180"/>
      <c r="E130" s="312"/>
      <c r="F130" s="312"/>
      <c r="G130" s="311"/>
      <c r="H130" s="311"/>
      <c r="I130" s="191"/>
      <c r="J130" s="191"/>
      <c r="K130" s="191"/>
      <c r="L130" s="191"/>
      <c r="M130" s="191"/>
      <c r="N130" s="191"/>
      <c r="O130" s="191"/>
      <c r="P130" s="191"/>
      <c r="Q130" s="191"/>
      <c r="R130" s="191"/>
      <c r="S130" s="191"/>
      <c r="T130" s="191"/>
      <c r="U130" s="191"/>
      <c r="V130" s="191"/>
      <c r="W130" s="191"/>
    </row>
    <row r="131" spans="3:23">
      <c r="C131" s="180"/>
      <c r="D131" s="180"/>
      <c r="E131" s="312"/>
      <c r="F131" s="312"/>
      <c r="G131" s="311"/>
      <c r="H131" s="311"/>
      <c r="I131" s="191"/>
      <c r="J131" s="191"/>
      <c r="K131" s="191"/>
      <c r="L131" s="191"/>
      <c r="M131" s="191"/>
      <c r="N131" s="191"/>
      <c r="O131" s="191"/>
      <c r="P131" s="191"/>
      <c r="Q131" s="191"/>
      <c r="R131" s="191"/>
      <c r="S131" s="191"/>
      <c r="T131" s="191"/>
      <c r="U131" s="191"/>
      <c r="V131" s="191"/>
      <c r="W131" s="191"/>
    </row>
    <row r="132" spans="3:23">
      <c r="C132" s="180"/>
      <c r="D132" s="180"/>
      <c r="E132" s="312"/>
      <c r="F132" s="312"/>
      <c r="G132" s="311"/>
      <c r="H132" s="311"/>
      <c r="I132" s="191"/>
      <c r="J132" s="191"/>
      <c r="K132" s="191"/>
      <c r="L132" s="191"/>
      <c r="M132" s="191"/>
      <c r="N132" s="191"/>
      <c r="O132" s="191"/>
      <c r="P132" s="191"/>
      <c r="Q132" s="191"/>
      <c r="R132" s="191"/>
      <c r="S132" s="191"/>
      <c r="T132" s="191"/>
      <c r="U132" s="191"/>
      <c r="V132" s="191"/>
      <c r="W132" s="191"/>
    </row>
    <row r="133" spans="3:23">
      <c r="C133" s="180"/>
      <c r="D133" s="180"/>
      <c r="E133" s="312"/>
      <c r="F133" s="312"/>
      <c r="G133" s="311"/>
      <c r="H133" s="311"/>
      <c r="I133" s="191"/>
      <c r="J133" s="191"/>
      <c r="K133" s="191"/>
      <c r="L133" s="191"/>
      <c r="M133" s="191"/>
      <c r="N133" s="191"/>
      <c r="O133" s="191"/>
      <c r="P133" s="191"/>
      <c r="Q133" s="191"/>
      <c r="R133" s="191"/>
      <c r="S133" s="191"/>
      <c r="T133" s="191"/>
      <c r="U133" s="191"/>
      <c r="V133" s="191"/>
      <c r="W133" s="191"/>
    </row>
    <row r="134" spans="3:23">
      <c r="C134" s="180"/>
      <c r="D134" s="180"/>
      <c r="E134" s="312"/>
      <c r="F134" s="312"/>
      <c r="G134" s="311"/>
      <c r="H134" s="311"/>
      <c r="I134" s="191"/>
      <c r="J134" s="191"/>
      <c r="K134" s="191"/>
      <c r="L134" s="191"/>
      <c r="M134" s="191"/>
      <c r="N134" s="191"/>
      <c r="O134" s="191"/>
      <c r="P134" s="191"/>
      <c r="Q134" s="191"/>
      <c r="R134" s="191"/>
      <c r="S134" s="191"/>
      <c r="T134" s="191"/>
      <c r="U134" s="191"/>
      <c r="V134" s="191"/>
      <c r="W134" s="191"/>
    </row>
    <row r="135" spans="3:23">
      <c r="C135" s="180"/>
      <c r="D135" s="180"/>
      <c r="E135" s="312"/>
      <c r="F135" s="312"/>
      <c r="G135" s="311"/>
      <c r="H135" s="311"/>
      <c r="I135" s="191"/>
      <c r="J135" s="191"/>
      <c r="K135" s="191"/>
      <c r="L135" s="191"/>
      <c r="M135" s="191"/>
      <c r="N135" s="191"/>
      <c r="O135" s="191"/>
      <c r="P135" s="191"/>
      <c r="Q135" s="191"/>
      <c r="R135" s="191"/>
      <c r="S135" s="191"/>
      <c r="T135" s="191"/>
      <c r="U135" s="191"/>
      <c r="V135" s="191"/>
      <c r="W135" s="191"/>
    </row>
    <row r="136" spans="3:23">
      <c r="C136" s="180"/>
      <c r="D136" s="180"/>
      <c r="E136" s="312"/>
      <c r="F136" s="312"/>
      <c r="G136" s="311"/>
      <c r="H136" s="311"/>
      <c r="I136" s="191"/>
      <c r="J136" s="191"/>
      <c r="K136" s="191"/>
      <c r="L136" s="191"/>
      <c r="M136" s="191"/>
      <c r="N136" s="191"/>
      <c r="O136" s="191"/>
      <c r="P136" s="191"/>
      <c r="Q136" s="191"/>
      <c r="R136" s="191"/>
      <c r="S136" s="191"/>
      <c r="T136" s="191"/>
      <c r="U136" s="191"/>
      <c r="V136" s="191"/>
      <c r="W136" s="191"/>
    </row>
    <row r="137" spans="3:23">
      <c r="C137" s="180"/>
      <c r="D137" s="180"/>
      <c r="E137" s="312"/>
      <c r="F137" s="312"/>
      <c r="G137" s="311"/>
      <c r="H137" s="311"/>
      <c r="I137" s="191"/>
      <c r="J137" s="191"/>
      <c r="K137" s="191"/>
      <c r="L137" s="191"/>
      <c r="M137" s="191"/>
      <c r="N137" s="191"/>
      <c r="O137" s="191"/>
      <c r="P137" s="191"/>
      <c r="Q137" s="191"/>
      <c r="R137" s="191"/>
      <c r="S137" s="191"/>
      <c r="T137" s="191"/>
      <c r="U137" s="191"/>
      <c r="V137" s="191"/>
      <c r="W137" s="191"/>
    </row>
    <row r="138" spans="3:23">
      <c r="C138" s="180"/>
      <c r="D138" s="180"/>
      <c r="E138" s="312"/>
      <c r="F138" s="312"/>
      <c r="G138" s="311"/>
      <c r="H138" s="311"/>
      <c r="I138" s="191"/>
      <c r="J138" s="191"/>
      <c r="K138" s="191"/>
      <c r="L138" s="191"/>
      <c r="M138" s="191"/>
      <c r="N138" s="191"/>
      <c r="O138" s="191"/>
      <c r="P138" s="191"/>
      <c r="Q138" s="191"/>
      <c r="R138" s="191"/>
      <c r="S138" s="191"/>
      <c r="T138" s="191"/>
      <c r="U138" s="191"/>
      <c r="V138" s="191"/>
      <c r="W138" s="191"/>
    </row>
    <row r="139" spans="3:23">
      <c r="C139" s="180"/>
      <c r="D139" s="180"/>
      <c r="E139" s="312"/>
      <c r="F139" s="312"/>
      <c r="G139" s="311"/>
      <c r="H139" s="311"/>
      <c r="I139" s="191"/>
      <c r="J139" s="191"/>
      <c r="K139" s="191"/>
      <c r="L139" s="191"/>
      <c r="M139" s="191"/>
      <c r="N139" s="191"/>
      <c r="O139" s="191"/>
      <c r="P139" s="191"/>
      <c r="Q139" s="191"/>
      <c r="R139" s="191"/>
      <c r="S139" s="191"/>
      <c r="T139" s="191"/>
      <c r="U139" s="191"/>
      <c r="V139" s="191"/>
      <c r="W139" s="191"/>
    </row>
    <row r="140" spans="3:23">
      <c r="C140" s="180"/>
      <c r="D140" s="180"/>
      <c r="E140" s="312"/>
      <c r="F140" s="312"/>
      <c r="G140" s="311"/>
      <c r="H140" s="311"/>
      <c r="I140" s="191"/>
      <c r="J140" s="191"/>
      <c r="K140" s="191"/>
      <c r="L140" s="191"/>
      <c r="M140" s="191"/>
      <c r="N140" s="191"/>
      <c r="O140" s="191"/>
      <c r="P140" s="191"/>
      <c r="Q140" s="191"/>
      <c r="R140" s="191"/>
      <c r="S140" s="191"/>
      <c r="T140" s="191"/>
      <c r="U140" s="191"/>
      <c r="V140" s="191"/>
      <c r="W140" s="191"/>
    </row>
    <row r="141" spans="3:23">
      <c r="C141" s="180"/>
      <c r="D141" s="180"/>
      <c r="E141" s="312"/>
      <c r="F141" s="312"/>
      <c r="G141" s="311"/>
      <c r="H141" s="311"/>
      <c r="I141" s="191"/>
      <c r="J141" s="191"/>
      <c r="K141" s="191"/>
      <c r="L141" s="191"/>
      <c r="M141" s="191"/>
      <c r="N141" s="191"/>
      <c r="O141" s="191"/>
      <c r="P141" s="191"/>
      <c r="Q141" s="191"/>
      <c r="R141" s="191"/>
      <c r="S141" s="191"/>
      <c r="T141" s="191"/>
      <c r="U141" s="191"/>
      <c r="V141" s="191"/>
      <c r="W141" s="191"/>
    </row>
    <row r="142" spans="3:23">
      <c r="C142" s="180"/>
      <c r="D142" s="180"/>
      <c r="E142" s="312"/>
      <c r="F142" s="312"/>
      <c r="G142" s="311"/>
      <c r="H142" s="311"/>
      <c r="I142" s="191"/>
      <c r="J142" s="191"/>
      <c r="K142" s="191"/>
      <c r="L142" s="191"/>
      <c r="M142" s="191"/>
      <c r="N142" s="191"/>
      <c r="O142" s="191"/>
      <c r="P142" s="191"/>
      <c r="Q142" s="191"/>
      <c r="R142" s="191"/>
      <c r="S142" s="191"/>
      <c r="T142" s="191"/>
      <c r="U142" s="191"/>
      <c r="V142" s="191"/>
      <c r="W142" s="191"/>
    </row>
    <row r="143" spans="3:23">
      <c r="C143" s="180"/>
      <c r="D143" s="180"/>
      <c r="E143" s="312"/>
      <c r="F143" s="312"/>
      <c r="G143" s="311"/>
      <c r="H143" s="311"/>
      <c r="I143" s="191"/>
      <c r="J143" s="191"/>
      <c r="K143" s="191"/>
      <c r="L143" s="191"/>
      <c r="M143" s="191"/>
      <c r="N143" s="191"/>
      <c r="O143" s="191"/>
      <c r="P143" s="191"/>
      <c r="Q143" s="191"/>
      <c r="R143" s="191"/>
      <c r="S143" s="191"/>
      <c r="T143" s="191"/>
      <c r="U143" s="191"/>
      <c r="V143" s="191"/>
      <c r="W143" s="191"/>
    </row>
    <row r="144" spans="3:23">
      <c r="C144" s="180"/>
      <c r="D144" s="180"/>
      <c r="E144" s="312"/>
      <c r="F144" s="312"/>
      <c r="G144" s="311"/>
      <c r="H144" s="311"/>
      <c r="I144" s="191"/>
      <c r="J144" s="191"/>
      <c r="K144" s="191"/>
      <c r="L144" s="191"/>
      <c r="M144" s="191"/>
      <c r="N144" s="191"/>
      <c r="O144" s="191"/>
      <c r="P144" s="191"/>
      <c r="Q144" s="191"/>
      <c r="R144" s="191"/>
      <c r="S144" s="191"/>
      <c r="T144" s="191"/>
      <c r="U144" s="191"/>
      <c r="V144" s="191"/>
      <c r="W144" s="191"/>
    </row>
    <row r="145" spans="3:23">
      <c r="C145" s="180"/>
      <c r="D145" s="180"/>
      <c r="E145" s="312"/>
      <c r="F145" s="312"/>
      <c r="G145" s="311"/>
      <c r="H145" s="311"/>
      <c r="I145" s="191"/>
      <c r="J145" s="191"/>
      <c r="K145" s="191"/>
      <c r="L145" s="191"/>
      <c r="M145" s="191"/>
      <c r="N145" s="191"/>
      <c r="O145" s="191"/>
      <c r="P145" s="191"/>
      <c r="Q145" s="191"/>
      <c r="R145" s="191"/>
      <c r="S145" s="191"/>
      <c r="T145" s="191"/>
      <c r="U145" s="191"/>
      <c r="V145" s="191"/>
      <c r="W145" s="191"/>
    </row>
    <row r="146" spans="3:23">
      <c r="C146" s="180"/>
      <c r="D146" s="180"/>
      <c r="E146" s="312"/>
      <c r="F146" s="312"/>
      <c r="G146" s="311"/>
      <c r="H146" s="311"/>
      <c r="I146" s="191"/>
      <c r="J146" s="191"/>
      <c r="K146" s="191"/>
      <c r="L146" s="191"/>
      <c r="M146" s="191"/>
      <c r="N146" s="191"/>
      <c r="O146" s="191"/>
      <c r="P146" s="191"/>
      <c r="Q146" s="191"/>
      <c r="R146" s="191"/>
      <c r="S146" s="191"/>
      <c r="T146" s="191"/>
      <c r="U146" s="191"/>
      <c r="V146" s="191"/>
      <c r="W146" s="191"/>
    </row>
    <row r="147" spans="3:23">
      <c r="C147" s="180"/>
      <c r="D147" s="180"/>
      <c r="E147" s="312"/>
      <c r="F147" s="312"/>
      <c r="G147" s="311"/>
      <c r="H147" s="311"/>
      <c r="I147" s="191"/>
      <c r="J147" s="191"/>
      <c r="K147" s="191"/>
      <c r="L147" s="191"/>
      <c r="M147" s="191"/>
      <c r="N147" s="191"/>
      <c r="O147" s="191"/>
      <c r="P147" s="191"/>
      <c r="Q147" s="191"/>
      <c r="R147" s="191"/>
      <c r="S147" s="191"/>
      <c r="T147" s="191"/>
      <c r="U147" s="191"/>
      <c r="V147" s="191"/>
      <c r="W147" s="191"/>
    </row>
    <row r="148" spans="3:23">
      <c r="C148" s="180"/>
      <c r="D148" s="180"/>
      <c r="E148" s="312"/>
      <c r="F148" s="312"/>
      <c r="G148" s="311"/>
      <c r="H148" s="311"/>
      <c r="I148" s="191"/>
      <c r="J148" s="191"/>
      <c r="K148" s="191"/>
      <c r="L148" s="191"/>
      <c r="M148" s="191"/>
      <c r="N148" s="191"/>
      <c r="O148" s="191"/>
      <c r="P148" s="191"/>
      <c r="Q148" s="191"/>
      <c r="R148" s="191"/>
      <c r="S148" s="191"/>
      <c r="T148" s="191"/>
      <c r="U148" s="191"/>
      <c r="V148" s="191"/>
      <c r="W148" s="191"/>
    </row>
    <row r="149" spans="3:23">
      <c r="C149" s="180"/>
      <c r="D149" s="180"/>
      <c r="E149" s="312"/>
      <c r="F149" s="312"/>
      <c r="G149" s="311"/>
      <c r="H149" s="311"/>
      <c r="I149" s="191"/>
      <c r="J149" s="191"/>
      <c r="K149" s="191"/>
      <c r="L149" s="191"/>
      <c r="M149" s="191"/>
      <c r="N149" s="191"/>
      <c r="O149" s="191"/>
      <c r="P149" s="191"/>
      <c r="Q149" s="191"/>
      <c r="R149" s="191"/>
      <c r="S149" s="191"/>
      <c r="T149" s="191"/>
      <c r="U149" s="191"/>
      <c r="V149" s="191"/>
      <c r="W149" s="191"/>
    </row>
    <row r="150" spans="3:23">
      <c r="C150" s="180"/>
      <c r="D150" s="180"/>
      <c r="E150" s="312"/>
      <c r="F150" s="312"/>
      <c r="G150" s="311"/>
      <c r="H150" s="311"/>
      <c r="I150" s="191"/>
      <c r="J150" s="191"/>
      <c r="K150" s="191"/>
      <c r="L150" s="191"/>
      <c r="M150" s="191"/>
      <c r="N150" s="191"/>
      <c r="O150" s="191"/>
      <c r="P150" s="191"/>
      <c r="Q150" s="191"/>
      <c r="R150" s="191"/>
      <c r="S150" s="191"/>
      <c r="T150" s="191"/>
      <c r="U150" s="191"/>
      <c r="V150" s="191"/>
      <c r="W150" s="191"/>
    </row>
    <row r="151" spans="3:23">
      <c r="C151" s="180"/>
      <c r="D151" s="180"/>
      <c r="E151" s="312"/>
      <c r="F151" s="312"/>
      <c r="G151" s="311"/>
      <c r="H151" s="311"/>
      <c r="I151" s="191"/>
      <c r="J151" s="191"/>
      <c r="K151" s="191"/>
      <c r="L151" s="191"/>
      <c r="M151" s="191"/>
      <c r="N151" s="191"/>
      <c r="O151" s="191"/>
      <c r="P151" s="191"/>
      <c r="Q151" s="191"/>
      <c r="R151" s="191"/>
      <c r="S151" s="191"/>
      <c r="T151" s="191"/>
      <c r="U151" s="191"/>
      <c r="V151" s="191"/>
      <c r="W151" s="191"/>
    </row>
    <row r="152" spans="3:23">
      <c r="C152" s="180"/>
      <c r="D152" s="180"/>
      <c r="E152" s="312"/>
      <c r="F152" s="312"/>
      <c r="G152" s="311"/>
      <c r="H152" s="311"/>
      <c r="I152" s="191"/>
      <c r="J152" s="191"/>
      <c r="K152" s="191"/>
      <c r="L152" s="191"/>
      <c r="M152" s="191"/>
      <c r="N152" s="191"/>
      <c r="O152" s="191"/>
      <c r="P152" s="191"/>
      <c r="Q152" s="191"/>
      <c r="R152" s="191"/>
      <c r="S152" s="191"/>
      <c r="T152" s="191"/>
      <c r="U152" s="191"/>
      <c r="V152" s="191"/>
      <c r="W152" s="191"/>
    </row>
    <row r="153" spans="3:23">
      <c r="C153" s="180"/>
      <c r="D153" s="180"/>
      <c r="E153" s="312"/>
      <c r="F153" s="312"/>
      <c r="G153" s="311"/>
      <c r="H153" s="311"/>
      <c r="I153" s="191"/>
      <c r="J153" s="191"/>
      <c r="K153" s="191"/>
      <c r="L153" s="191"/>
      <c r="M153" s="191"/>
      <c r="N153" s="191"/>
      <c r="O153" s="191"/>
      <c r="P153" s="191"/>
      <c r="Q153" s="191"/>
      <c r="R153" s="191"/>
      <c r="S153" s="191"/>
      <c r="T153" s="191"/>
      <c r="U153" s="191"/>
      <c r="V153" s="191"/>
      <c r="W153" s="191"/>
    </row>
    <row r="154" spans="3:23">
      <c r="C154" s="180"/>
      <c r="D154" s="180"/>
      <c r="E154" s="312"/>
      <c r="F154" s="312"/>
      <c r="G154" s="311"/>
      <c r="H154" s="311"/>
      <c r="I154" s="191"/>
      <c r="J154" s="191"/>
      <c r="K154" s="191"/>
      <c r="L154" s="191"/>
      <c r="M154" s="191"/>
      <c r="N154" s="191"/>
      <c r="O154" s="191"/>
      <c r="P154" s="191"/>
      <c r="Q154" s="191"/>
      <c r="R154" s="191"/>
      <c r="S154" s="191"/>
      <c r="T154" s="191"/>
      <c r="U154" s="191"/>
      <c r="V154" s="191"/>
      <c r="W154" s="191"/>
    </row>
    <row r="155" spans="3:23">
      <c r="C155" s="180"/>
      <c r="D155" s="180"/>
      <c r="E155" s="312"/>
      <c r="F155" s="312"/>
      <c r="G155" s="311"/>
      <c r="H155" s="311"/>
      <c r="I155" s="191"/>
      <c r="J155" s="191"/>
      <c r="K155" s="191"/>
      <c r="L155" s="191"/>
      <c r="M155" s="191"/>
      <c r="N155" s="191"/>
      <c r="O155" s="191"/>
      <c r="P155" s="191"/>
      <c r="Q155" s="191"/>
      <c r="R155" s="191"/>
      <c r="S155" s="191"/>
      <c r="T155" s="191"/>
      <c r="U155" s="191"/>
      <c r="V155" s="191"/>
      <c r="W155" s="191"/>
    </row>
    <row r="156" spans="3:23">
      <c r="C156" s="180"/>
      <c r="D156" s="180"/>
      <c r="E156" s="312"/>
      <c r="F156" s="312"/>
      <c r="G156" s="311"/>
      <c r="H156" s="311"/>
      <c r="I156" s="191"/>
      <c r="J156" s="191"/>
      <c r="K156" s="191"/>
      <c r="L156" s="191"/>
      <c r="M156" s="191"/>
      <c r="N156" s="191"/>
      <c r="O156" s="191"/>
      <c r="P156" s="191"/>
      <c r="Q156" s="191"/>
      <c r="R156" s="191"/>
      <c r="S156" s="191"/>
      <c r="T156" s="191"/>
      <c r="U156" s="191"/>
      <c r="V156" s="191"/>
      <c r="W156" s="191"/>
    </row>
    <row r="157" spans="3:23">
      <c r="C157" s="180"/>
      <c r="D157" s="180"/>
      <c r="E157" s="312"/>
      <c r="F157" s="312"/>
      <c r="G157" s="311"/>
      <c r="H157" s="311"/>
      <c r="I157" s="191"/>
      <c r="J157" s="191"/>
      <c r="K157" s="191"/>
      <c r="L157" s="191"/>
      <c r="M157" s="191"/>
      <c r="N157" s="191"/>
      <c r="O157" s="191"/>
      <c r="P157" s="191"/>
      <c r="Q157" s="191"/>
      <c r="R157" s="191"/>
      <c r="S157" s="191"/>
      <c r="T157" s="191"/>
      <c r="U157" s="191"/>
      <c r="V157" s="191"/>
      <c r="W157" s="191"/>
    </row>
    <row r="158" spans="3:23">
      <c r="C158" s="180"/>
      <c r="D158" s="180"/>
      <c r="E158" s="312"/>
      <c r="F158" s="312"/>
      <c r="G158" s="311"/>
      <c r="H158" s="311"/>
      <c r="I158" s="191"/>
      <c r="J158" s="191"/>
      <c r="K158" s="191"/>
      <c r="L158" s="191"/>
      <c r="M158" s="191"/>
      <c r="N158" s="191"/>
      <c r="O158" s="191"/>
      <c r="P158" s="191"/>
      <c r="Q158" s="191"/>
      <c r="R158" s="191"/>
      <c r="S158" s="191"/>
      <c r="T158" s="191"/>
      <c r="U158" s="191"/>
      <c r="V158" s="191"/>
      <c r="W158" s="191"/>
    </row>
    <row r="159" spans="3:23">
      <c r="C159" s="180"/>
      <c r="D159" s="180"/>
      <c r="E159" s="312"/>
      <c r="F159" s="312"/>
      <c r="G159" s="311"/>
      <c r="H159" s="311"/>
      <c r="I159" s="191"/>
      <c r="J159" s="191"/>
      <c r="K159" s="191"/>
      <c r="L159" s="191"/>
      <c r="M159" s="191"/>
      <c r="N159" s="191"/>
      <c r="O159" s="191"/>
      <c r="P159" s="191"/>
      <c r="Q159" s="191"/>
      <c r="R159" s="191"/>
      <c r="S159" s="191"/>
      <c r="T159" s="191"/>
      <c r="U159" s="191"/>
      <c r="V159" s="191"/>
      <c r="W159" s="191"/>
    </row>
    <row r="160" spans="3:23">
      <c r="C160" s="180"/>
      <c r="D160" s="180"/>
      <c r="E160" s="312"/>
      <c r="F160" s="312"/>
      <c r="G160" s="311"/>
      <c r="H160" s="311"/>
      <c r="I160" s="191"/>
      <c r="J160" s="191"/>
      <c r="K160" s="191"/>
      <c r="L160" s="191"/>
      <c r="M160" s="191"/>
      <c r="N160" s="191"/>
      <c r="O160" s="191"/>
      <c r="P160" s="191"/>
      <c r="Q160" s="191"/>
      <c r="R160" s="191"/>
      <c r="S160" s="191"/>
      <c r="T160" s="191"/>
      <c r="U160" s="191"/>
      <c r="V160" s="191"/>
      <c r="W160" s="191"/>
    </row>
    <row r="161" spans="3:23">
      <c r="C161" s="180"/>
      <c r="D161" s="180"/>
      <c r="E161" s="312"/>
      <c r="F161" s="312"/>
      <c r="G161" s="311"/>
      <c r="H161" s="311"/>
      <c r="I161" s="191"/>
      <c r="J161" s="191"/>
      <c r="K161" s="191"/>
      <c r="L161" s="191"/>
      <c r="M161" s="191"/>
      <c r="N161" s="191"/>
      <c r="O161" s="191"/>
      <c r="P161" s="191"/>
      <c r="Q161" s="191"/>
      <c r="R161" s="191"/>
      <c r="S161" s="191"/>
      <c r="T161" s="191"/>
      <c r="U161" s="191"/>
      <c r="V161" s="191"/>
      <c r="W161" s="191"/>
    </row>
    <row r="162" spans="3:23">
      <c r="C162" s="180"/>
      <c r="D162" s="180"/>
      <c r="E162" s="312"/>
      <c r="F162" s="312"/>
      <c r="G162" s="311"/>
      <c r="H162" s="311"/>
      <c r="I162" s="191"/>
      <c r="J162" s="191"/>
      <c r="K162" s="191"/>
      <c r="L162" s="191"/>
      <c r="M162" s="191"/>
      <c r="N162" s="191"/>
      <c r="O162" s="191"/>
      <c r="P162" s="191"/>
      <c r="Q162" s="191"/>
      <c r="R162" s="191"/>
      <c r="S162" s="191"/>
      <c r="T162" s="191"/>
      <c r="U162" s="191"/>
      <c r="V162" s="191"/>
      <c r="W162" s="191"/>
    </row>
    <row r="163" spans="3:23">
      <c r="C163" s="180"/>
      <c r="D163" s="180"/>
      <c r="E163" s="312"/>
      <c r="F163" s="312"/>
      <c r="G163" s="311"/>
      <c r="H163" s="311"/>
      <c r="I163" s="191"/>
      <c r="J163" s="191"/>
      <c r="K163" s="191"/>
      <c r="L163" s="191"/>
      <c r="M163" s="191"/>
      <c r="N163" s="191"/>
      <c r="O163" s="191"/>
      <c r="P163" s="191"/>
      <c r="Q163" s="191"/>
      <c r="R163" s="191"/>
      <c r="S163" s="191"/>
      <c r="T163" s="191"/>
      <c r="U163" s="191"/>
      <c r="V163" s="191"/>
      <c r="W163" s="191"/>
    </row>
    <row r="164" spans="3:23">
      <c r="C164" s="180"/>
      <c r="D164" s="180"/>
      <c r="E164" s="312"/>
      <c r="F164" s="312"/>
      <c r="G164" s="311"/>
      <c r="H164" s="311"/>
      <c r="I164" s="191"/>
      <c r="J164" s="191"/>
      <c r="K164" s="191"/>
      <c r="L164" s="191"/>
      <c r="M164" s="191"/>
      <c r="N164" s="191"/>
      <c r="O164" s="191"/>
      <c r="P164" s="191"/>
      <c r="Q164" s="191"/>
      <c r="R164" s="191"/>
      <c r="S164" s="191"/>
      <c r="T164" s="191"/>
      <c r="U164" s="191"/>
      <c r="V164" s="191"/>
      <c r="W164" s="191"/>
    </row>
    <row r="165" spans="3:23">
      <c r="C165" s="180"/>
      <c r="D165" s="180"/>
      <c r="E165" s="312"/>
      <c r="F165" s="312"/>
      <c r="G165" s="311"/>
      <c r="H165" s="311"/>
      <c r="I165" s="191"/>
      <c r="J165" s="191"/>
      <c r="K165" s="191"/>
      <c r="L165" s="191"/>
      <c r="M165" s="191"/>
      <c r="N165" s="191"/>
      <c r="O165" s="191"/>
      <c r="P165" s="191"/>
      <c r="Q165" s="191"/>
      <c r="R165" s="191"/>
      <c r="S165" s="191"/>
      <c r="T165" s="191"/>
      <c r="U165" s="191"/>
      <c r="V165" s="191"/>
      <c r="W165" s="191"/>
    </row>
    <row r="166" spans="3:23">
      <c r="C166" s="180"/>
      <c r="D166" s="180"/>
      <c r="E166" s="312"/>
      <c r="F166" s="312"/>
      <c r="G166" s="311"/>
      <c r="H166" s="311"/>
      <c r="I166" s="191"/>
      <c r="J166" s="191"/>
      <c r="K166" s="191"/>
      <c r="L166" s="191"/>
      <c r="M166" s="191"/>
      <c r="N166" s="191"/>
      <c r="O166" s="191"/>
      <c r="P166" s="191"/>
      <c r="Q166" s="191"/>
      <c r="R166" s="191"/>
      <c r="S166" s="191"/>
      <c r="T166" s="191"/>
      <c r="U166" s="191"/>
      <c r="V166" s="191"/>
      <c r="W166" s="191"/>
    </row>
    <row r="167" spans="3:23">
      <c r="C167" s="180"/>
      <c r="D167" s="180"/>
      <c r="E167" s="312"/>
      <c r="F167" s="312"/>
      <c r="G167" s="311"/>
      <c r="H167" s="311"/>
      <c r="I167" s="191"/>
      <c r="J167" s="191"/>
      <c r="K167" s="191"/>
      <c r="L167" s="191"/>
      <c r="M167" s="191"/>
      <c r="N167" s="191"/>
      <c r="O167" s="191"/>
      <c r="P167" s="191"/>
      <c r="Q167" s="191"/>
      <c r="R167" s="191"/>
      <c r="S167" s="191"/>
      <c r="T167" s="191"/>
      <c r="U167" s="191"/>
      <c r="V167" s="191"/>
      <c r="W167" s="191"/>
    </row>
    <row r="168" spans="3:23">
      <c r="C168" s="180"/>
      <c r="D168" s="180"/>
      <c r="E168" s="312"/>
      <c r="F168" s="312"/>
      <c r="G168" s="311"/>
      <c r="H168" s="311"/>
      <c r="I168" s="191"/>
      <c r="J168" s="191"/>
      <c r="K168" s="191"/>
      <c r="L168" s="191"/>
      <c r="M168" s="191"/>
      <c r="N168" s="191"/>
      <c r="O168" s="191"/>
      <c r="P168" s="191"/>
      <c r="Q168" s="191"/>
      <c r="R168" s="191"/>
      <c r="S168" s="191"/>
      <c r="T168" s="191"/>
      <c r="U168" s="191"/>
      <c r="V168" s="191"/>
      <c r="W168" s="191"/>
    </row>
    <row r="169" spans="3:23">
      <c r="C169" s="180"/>
      <c r="D169" s="180"/>
      <c r="E169" s="312"/>
      <c r="F169" s="312"/>
      <c r="G169" s="311"/>
      <c r="H169" s="311"/>
      <c r="I169" s="191"/>
      <c r="J169" s="191"/>
      <c r="K169" s="191"/>
      <c r="L169" s="191"/>
      <c r="M169" s="191"/>
      <c r="N169" s="191"/>
      <c r="O169" s="191"/>
      <c r="P169" s="191"/>
      <c r="Q169" s="191"/>
      <c r="R169" s="191"/>
      <c r="S169" s="191"/>
      <c r="T169" s="191"/>
      <c r="U169" s="191"/>
      <c r="V169" s="191"/>
      <c r="W169" s="191"/>
    </row>
    <row r="170" spans="3:23">
      <c r="C170" s="180"/>
      <c r="D170" s="180"/>
      <c r="E170" s="312"/>
      <c r="F170" s="312"/>
      <c r="G170" s="311"/>
      <c r="H170" s="311"/>
      <c r="I170" s="191"/>
      <c r="J170" s="191"/>
      <c r="K170" s="191"/>
      <c r="L170" s="191"/>
      <c r="M170" s="191"/>
      <c r="N170" s="191"/>
      <c r="O170" s="191"/>
      <c r="P170" s="191"/>
      <c r="Q170" s="191"/>
      <c r="R170" s="191"/>
      <c r="S170" s="191"/>
      <c r="T170" s="191"/>
      <c r="U170" s="191"/>
      <c r="V170" s="191"/>
      <c r="W170" s="191"/>
    </row>
    <row r="171" spans="3:23">
      <c r="C171" s="180"/>
      <c r="D171" s="180"/>
      <c r="E171" s="312"/>
      <c r="F171" s="312"/>
      <c r="G171" s="311"/>
      <c r="H171" s="311"/>
      <c r="I171" s="191"/>
      <c r="J171" s="191"/>
      <c r="K171" s="191"/>
      <c r="L171" s="191"/>
      <c r="M171" s="191"/>
      <c r="N171" s="191"/>
      <c r="O171" s="191"/>
      <c r="P171" s="191"/>
      <c r="Q171" s="191"/>
      <c r="R171" s="191"/>
      <c r="S171" s="191"/>
      <c r="T171" s="191"/>
      <c r="U171" s="191"/>
      <c r="V171" s="191"/>
      <c r="W171" s="191"/>
    </row>
    <row r="172" spans="3:23">
      <c r="C172" s="180"/>
      <c r="D172" s="180"/>
      <c r="E172" s="312"/>
      <c r="F172" s="312"/>
      <c r="G172" s="311"/>
      <c r="H172" s="311"/>
      <c r="I172" s="191"/>
      <c r="J172" s="191"/>
      <c r="K172" s="191"/>
      <c r="L172" s="191"/>
      <c r="M172" s="191"/>
      <c r="N172" s="191"/>
      <c r="O172" s="191"/>
      <c r="P172" s="191"/>
      <c r="Q172" s="191"/>
      <c r="R172" s="191"/>
      <c r="S172" s="191"/>
      <c r="T172" s="191"/>
      <c r="U172" s="191"/>
      <c r="V172" s="191"/>
      <c r="W172" s="191"/>
    </row>
    <row r="173" spans="3:23">
      <c r="C173" s="180"/>
      <c r="D173" s="180"/>
      <c r="E173" s="312"/>
      <c r="F173" s="312"/>
      <c r="G173" s="311"/>
      <c r="H173" s="311"/>
      <c r="I173" s="191"/>
      <c r="J173" s="191"/>
      <c r="K173" s="191"/>
      <c r="L173" s="191"/>
      <c r="M173" s="191"/>
      <c r="N173" s="191"/>
      <c r="O173" s="191"/>
      <c r="P173" s="191"/>
      <c r="Q173" s="191"/>
      <c r="R173" s="191"/>
      <c r="S173" s="191"/>
      <c r="T173" s="191"/>
      <c r="U173" s="191"/>
      <c r="V173" s="191"/>
      <c r="W173" s="191"/>
    </row>
    <row r="174" spans="3:23">
      <c r="C174" s="180"/>
      <c r="D174" s="180"/>
      <c r="E174" s="312"/>
      <c r="F174" s="312"/>
      <c r="G174" s="311"/>
      <c r="H174" s="311"/>
      <c r="I174" s="191"/>
      <c r="J174" s="191"/>
      <c r="K174" s="191"/>
      <c r="L174" s="191"/>
      <c r="M174" s="191"/>
      <c r="N174" s="191"/>
      <c r="O174" s="191"/>
      <c r="P174" s="191"/>
      <c r="Q174" s="191"/>
      <c r="R174" s="191"/>
      <c r="S174" s="191"/>
      <c r="T174" s="191"/>
      <c r="U174" s="191"/>
      <c r="V174" s="191"/>
      <c r="W174" s="191"/>
    </row>
    <row r="175" spans="3:23">
      <c r="C175" s="180"/>
      <c r="D175" s="180"/>
      <c r="E175" s="312"/>
      <c r="F175" s="312"/>
      <c r="G175" s="311"/>
      <c r="H175" s="311"/>
      <c r="I175" s="191"/>
      <c r="J175" s="191"/>
      <c r="K175" s="191"/>
      <c r="L175" s="191"/>
      <c r="M175" s="191"/>
      <c r="N175" s="191"/>
      <c r="O175" s="191"/>
      <c r="P175" s="191"/>
      <c r="Q175" s="191"/>
      <c r="R175" s="191"/>
      <c r="S175" s="191"/>
      <c r="T175" s="191"/>
      <c r="U175" s="191"/>
      <c r="V175" s="191"/>
      <c r="W175" s="191"/>
    </row>
    <row r="176" spans="3:23">
      <c r="C176" s="180"/>
      <c r="D176" s="180"/>
      <c r="E176" s="312"/>
      <c r="F176" s="312"/>
      <c r="G176" s="311"/>
      <c r="H176" s="311"/>
      <c r="I176" s="191"/>
      <c r="J176" s="191"/>
      <c r="K176" s="191"/>
      <c r="L176" s="191"/>
      <c r="M176" s="191"/>
      <c r="N176" s="191"/>
      <c r="O176" s="191"/>
      <c r="P176" s="191"/>
      <c r="Q176" s="191"/>
      <c r="R176" s="191"/>
      <c r="S176" s="191"/>
      <c r="T176" s="191"/>
      <c r="U176" s="191"/>
      <c r="V176" s="191"/>
      <c r="W176" s="191"/>
    </row>
    <row r="177" spans="3:23">
      <c r="C177" s="180"/>
      <c r="D177" s="180"/>
      <c r="E177" s="312"/>
      <c r="F177" s="312"/>
      <c r="G177" s="311"/>
      <c r="H177" s="311"/>
      <c r="I177" s="191"/>
      <c r="J177" s="191"/>
      <c r="K177" s="191"/>
      <c r="L177" s="191"/>
      <c r="M177" s="191"/>
      <c r="N177" s="191"/>
      <c r="O177" s="191"/>
      <c r="P177" s="191"/>
      <c r="Q177" s="191"/>
      <c r="R177" s="191"/>
      <c r="S177" s="191"/>
      <c r="T177" s="191"/>
      <c r="U177" s="191"/>
      <c r="V177" s="191"/>
      <c r="W177" s="191"/>
    </row>
    <row r="178" spans="3:23">
      <c r="C178" s="180"/>
      <c r="D178" s="180"/>
      <c r="E178" s="312"/>
      <c r="F178" s="312"/>
      <c r="G178" s="311"/>
      <c r="H178" s="311"/>
      <c r="I178" s="191"/>
      <c r="J178" s="191"/>
      <c r="K178" s="191"/>
      <c r="L178" s="191"/>
      <c r="M178" s="191"/>
      <c r="N178" s="191"/>
      <c r="O178" s="191"/>
      <c r="P178" s="191"/>
      <c r="Q178" s="191"/>
      <c r="R178" s="191"/>
      <c r="S178" s="191"/>
      <c r="T178" s="191"/>
      <c r="U178" s="191"/>
      <c r="V178" s="191"/>
      <c r="W178" s="191"/>
    </row>
    <row r="179" spans="3:23">
      <c r="C179" s="180"/>
      <c r="D179" s="180"/>
      <c r="E179" s="312"/>
      <c r="F179" s="312"/>
      <c r="G179" s="311"/>
      <c r="H179" s="311"/>
      <c r="I179" s="191"/>
      <c r="J179" s="191"/>
      <c r="K179" s="191"/>
      <c r="L179" s="191"/>
      <c r="M179" s="191"/>
      <c r="N179" s="191"/>
      <c r="O179" s="191"/>
      <c r="P179" s="191"/>
      <c r="Q179" s="191"/>
      <c r="R179" s="191"/>
      <c r="S179" s="191"/>
      <c r="T179" s="191"/>
      <c r="U179" s="191"/>
      <c r="V179" s="191"/>
      <c r="W179" s="191"/>
    </row>
    <row r="180" spans="3:23">
      <c r="C180" s="180"/>
      <c r="D180" s="180"/>
      <c r="E180" s="312"/>
      <c r="F180" s="312"/>
      <c r="G180" s="311"/>
      <c r="H180" s="311"/>
      <c r="I180" s="191"/>
      <c r="J180" s="191"/>
      <c r="K180" s="191"/>
      <c r="L180" s="191"/>
      <c r="M180" s="191"/>
      <c r="N180" s="191"/>
      <c r="O180" s="191"/>
      <c r="P180" s="191"/>
      <c r="Q180" s="191"/>
      <c r="R180" s="191"/>
      <c r="S180" s="191"/>
      <c r="T180" s="191"/>
      <c r="U180" s="191"/>
      <c r="V180" s="191"/>
      <c r="W180" s="191"/>
    </row>
    <row r="181" spans="3:23">
      <c r="C181" s="180"/>
      <c r="D181" s="180"/>
      <c r="E181" s="312"/>
      <c r="F181" s="312"/>
      <c r="G181" s="311"/>
      <c r="H181" s="311"/>
      <c r="I181" s="191"/>
      <c r="J181" s="191"/>
      <c r="K181" s="191"/>
      <c r="L181" s="191"/>
      <c r="M181" s="191"/>
      <c r="N181" s="191"/>
      <c r="O181" s="191"/>
      <c r="P181" s="191"/>
      <c r="Q181" s="191"/>
      <c r="R181" s="191"/>
      <c r="S181" s="191"/>
      <c r="T181" s="191"/>
      <c r="U181" s="191"/>
      <c r="V181" s="191"/>
      <c r="W181" s="191"/>
    </row>
    <row r="182" spans="3:23">
      <c r="C182" s="180"/>
      <c r="D182" s="180"/>
      <c r="E182" s="312"/>
      <c r="F182" s="312"/>
      <c r="G182" s="311"/>
      <c r="H182" s="311"/>
      <c r="I182" s="191"/>
      <c r="J182" s="191"/>
      <c r="K182" s="191"/>
      <c r="L182" s="191"/>
      <c r="M182" s="191"/>
      <c r="N182" s="191"/>
      <c r="O182" s="191"/>
      <c r="P182" s="191"/>
      <c r="Q182" s="191"/>
      <c r="R182" s="191"/>
      <c r="S182" s="191"/>
      <c r="T182" s="191"/>
      <c r="U182" s="191"/>
      <c r="V182" s="191"/>
      <c r="W182" s="191"/>
    </row>
    <row r="183" spans="3:23">
      <c r="C183" s="180"/>
      <c r="D183" s="180"/>
      <c r="E183" s="312"/>
      <c r="F183" s="312"/>
      <c r="G183" s="311"/>
      <c r="H183" s="311"/>
      <c r="I183" s="191"/>
      <c r="J183" s="191"/>
      <c r="K183" s="191"/>
      <c r="L183" s="191"/>
      <c r="M183" s="191"/>
      <c r="N183" s="191"/>
      <c r="O183" s="191"/>
      <c r="P183" s="191"/>
      <c r="Q183" s="191"/>
      <c r="R183" s="191"/>
      <c r="S183" s="191"/>
      <c r="T183" s="191"/>
      <c r="U183" s="191"/>
      <c r="V183" s="191"/>
      <c r="W183" s="191"/>
    </row>
    <row r="184" spans="3:23">
      <c r="C184" s="180"/>
      <c r="D184" s="180"/>
      <c r="E184" s="312"/>
      <c r="F184" s="312"/>
      <c r="G184" s="311"/>
      <c r="H184" s="311"/>
      <c r="I184" s="191"/>
      <c r="J184" s="191"/>
      <c r="K184" s="191"/>
      <c r="L184" s="191"/>
      <c r="M184" s="191"/>
      <c r="N184" s="191"/>
      <c r="O184" s="191"/>
      <c r="P184" s="191"/>
      <c r="Q184" s="191"/>
      <c r="R184" s="191"/>
      <c r="S184" s="191"/>
      <c r="T184" s="191"/>
      <c r="U184" s="191"/>
      <c r="V184" s="191"/>
      <c r="W184" s="191"/>
    </row>
    <row r="185" spans="3:23">
      <c r="C185" s="180"/>
      <c r="D185" s="180"/>
      <c r="E185" s="312"/>
      <c r="F185" s="312"/>
      <c r="G185" s="311"/>
      <c r="H185" s="311"/>
      <c r="I185" s="191"/>
      <c r="J185" s="191"/>
      <c r="K185" s="191"/>
      <c r="L185" s="191"/>
      <c r="M185" s="191"/>
      <c r="N185" s="191"/>
      <c r="O185" s="191"/>
      <c r="P185" s="191"/>
      <c r="Q185" s="191"/>
      <c r="R185" s="191"/>
      <c r="S185" s="191"/>
      <c r="T185" s="191"/>
      <c r="U185" s="191"/>
      <c r="V185" s="191"/>
      <c r="W185" s="191"/>
    </row>
    <row r="186" spans="3:23">
      <c r="C186" s="180"/>
      <c r="D186" s="180"/>
      <c r="E186" s="312"/>
      <c r="F186" s="312"/>
      <c r="G186" s="311"/>
      <c r="H186" s="311"/>
      <c r="I186" s="191"/>
      <c r="J186" s="191"/>
      <c r="K186" s="191"/>
      <c r="L186" s="191"/>
      <c r="M186" s="191"/>
      <c r="N186" s="191"/>
      <c r="O186" s="191"/>
      <c r="P186" s="191"/>
      <c r="Q186" s="191"/>
      <c r="R186" s="191"/>
      <c r="S186" s="191"/>
      <c r="T186" s="191"/>
      <c r="U186" s="191"/>
      <c r="V186" s="191"/>
      <c r="W186" s="191"/>
    </row>
    <row r="187" spans="3:23">
      <c r="C187" s="180"/>
      <c r="D187" s="180"/>
      <c r="E187" s="312"/>
      <c r="F187" s="312"/>
      <c r="G187" s="311"/>
      <c r="H187" s="311"/>
      <c r="I187" s="191"/>
      <c r="J187" s="191"/>
      <c r="K187" s="191"/>
      <c r="L187" s="191"/>
      <c r="M187" s="191"/>
      <c r="N187" s="191"/>
      <c r="O187" s="191"/>
      <c r="P187" s="191"/>
      <c r="Q187" s="191"/>
      <c r="R187" s="191"/>
      <c r="S187" s="191"/>
      <c r="T187" s="191"/>
      <c r="U187" s="191"/>
      <c r="V187" s="191"/>
      <c r="W187" s="191"/>
    </row>
    <row r="188" spans="3:23">
      <c r="C188" s="180"/>
      <c r="D188" s="180"/>
      <c r="E188" s="312"/>
      <c r="F188" s="312"/>
      <c r="G188" s="311"/>
      <c r="H188" s="311"/>
      <c r="I188" s="191"/>
      <c r="J188" s="191"/>
      <c r="K188" s="191"/>
      <c r="L188" s="191"/>
      <c r="M188" s="191"/>
      <c r="N188" s="191"/>
      <c r="O188" s="191"/>
      <c r="P188" s="191"/>
      <c r="Q188" s="191"/>
      <c r="R188" s="191"/>
      <c r="S188" s="191"/>
      <c r="T188" s="191"/>
      <c r="U188" s="191"/>
      <c r="V188" s="191"/>
      <c r="W188" s="191"/>
    </row>
    <row r="189" spans="3:23">
      <c r="C189" s="180"/>
      <c r="D189" s="180"/>
      <c r="E189" s="312"/>
      <c r="F189" s="312"/>
      <c r="G189" s="311"/>
      <c r="H189" s="311"/>
      <c r="I189" s="191"/>
      <c r="J189" s="191"/>
      <c r="K189" s="191"/>
      <c r="L189" s="191"/>
      <c r="M189" s="191"/>
      <c r="N189" s="191"/>
      <c r="O189" s="191"/>
      <c r="P189" s="191"/>
      <c r="Q189" s="191"/>
      <c r="R189" s="191"/>
      <c r="S189" s="191"/>
      <c r="T189" s="191"/>
      <c r="U189" s="191"/>
      <c r="V189" s="191"/>
      <c r="W189" s="191"/>
    </row>
    <row r="190" spans="3:23">
      <c r="C190" s="180"/>
      <c r="D190" s="180"/>
      <c r="E190" s="312"/>
      <c r="F190" s="312"/>
      <c r="G190" s="311"/>
      <c r="H190" s="311"/>
      <c r="I190" s="191"/>
      <c r="J190" s="191"/>
      <c r="K190" s="191"/>
      <c r="L190" s="191"/>
      <c r="M190" s="191"/>
      <c r="N190" s="191"/>
      <c r="O190" s="191"/>
      <c r="P190" s="191"/>
      <c r="Q190" s="191"/>
      <c r="R190" s="191"/>
      <c r="S190" s="191"/>
      <c r="T190" s="191"/>
      <c r="U190" s="191"/>
      <c r="V190" s="191"/>
      <c r="W190" s="191"/>
    </row>
    <row r="191" spans="3:23">
      <c r="C191" s="180"/>
      <c r="D191" s="180"/>
      <c r="E191" s="312"/>
      <c r="F191" s="312"/>
      <c r="G191" s="311"/>
      <c r="H191" s="311"/>
      <c r="I191" s="191"/>
      <c r="J191" s="191"/>
      <c r="K191" s="191"/>
      <c r="L191" s="191"/>
      <c r="M191" s="191"/>
      <c r="N191" s="191"/>
      <c r="O191" s="191"/>
      <c r="P191" s="191"/>
      <c r="Q191" s="191"/>
      <c r="R191" s="191"/>
      <c r="S191" s="191"/>
      <c r="T191" s="191"/>
      <c r="U191" s="191"/>
      <c r="V191" s="191"/>
      <c r="W191" s="191"/>
    </row>
    <row r="192" spans="3:23">
      <c r="C192" s="180"/>
      <c r="D192" s="180"/>
      <c r="E192" s="312"/>
      <c r="F192" s="312"/>
      <c r="G192" s="311"/>
      <c r="H192" s="311"/>
      <c r="I192" s="191"/>
      <c r="J192" s="191"/>
      <c r="K192" s="191"/>
      <c r="L192" s="191"/>
      <c r="M192" s="191"/>
      <c r="N192" s="191"/>
      <c r="O192" s="191"/>
      <c r="P192" s="191"/>
      <c r="Q192" s="191"/>
      <c r="R192" s="191"/>
      <c r="S192" s="191"/>
      <c r="T192" s="191"/>
      <c r="U192" s="191"/>
      <c r="V192" s="191"/>
      <c r="W192" s="191"/>
    </row>
    <row r="193" spans="3:23">
      <c r="C193" s="180"/>
      <c r="D193" s="180"/>
      <c r="E193" s="312"/>
      <c r="F193" s="312"/>
      <c r="G193" s="311"/>
      <c r="H193" s="311"/>
      <c r="I193" s="191"/>
      <c r="J193" s="191"/>
      <c r="K193" s="191"/>
      <c r="L193" s="191"/>
      <c r="M193" s="191"/>
      <c r="N193" s="191"/>
      <c r="O193" s="191"/>
      <c r="P193" s="191"/>
      <c r="Q193" s="191"/>
      <c r="R193" s="191"/>
      <c r="S193" s="191"/>
      <c r="T193" s="191"/>
      <c r="U193" s="191"/>
      <c r="V193" s="191"/>
      <c r="W193" s="191"/>
    </row>
    <row r="194" spans="3:23">
      <c r="C194" s="180"/>
      <c r="D194" s="180"/>
      <c r="E194" s="312"/>
      <c r="F194" s="312"/>
      <c r="G194" s="311"/>
      <c r="H194" s="311"/>
      <c r="I194" s="191"/>
      <c r="J194" s="191"/>
      <c r="K194" s="191"/>
      <c r="L194" s="191"/>
      <c r="M194" s="191"/>
      <c r="N194" s="191"/>
      <c r="O194" s="191"/>
      <c r="P194" s="191"/>
      <c r="Q194" s="191"/>
      <c r="R194" s="191"/>
      <c r="S194" s="191"/>
      <c r="T194" s="191"/>
      <c r="U194" s="191"/>
      <c r="V194" s="191"/>
      <c r="W194" s="191"/>
    </row>
    <row r="195" spans="3:23">
      <c r="C195" s="180"/>
      <c r="D195" s="180"/>
      <c r="E195" s="312"/>
      <c r="F195" s="312"/>
      <c r="G195" s="311"/>
      <c r="H195" s="311"/>
      <c r="I195" s="191"/>
      <c r="J195" s="191"/>
      <c r="K195" s="191"/>
      <c r="L195" s="191"/>
      <c r="M195" s="191"/>
      <c r="N195" s="191"/>
      <c r="O195" s="191"/>
      <c r="P195" s="191"/>
      <c r="Q195" s="191"/>
      <c r="R195" s="191"/>
      <c r="S195" s="191"/>
      <c r="T195" s="191"/>
      <c r="U195" s="191"/>
      <c r="V195" s="191"/>
      <c r="W195" s="191"/>
    </row>
    <row r="196" spans="3:23">
      <c r="C196" s="180"/>
      <c r="D196" s="180"/>
      <c r="E196" s="312"/>
      <c r="F196" s="312"/>
      <c r="G196" s="311"/>
      <c r="H196" s="311"/>
      <c r="I196" s="191"/>
      <c r="J196" s="191"/>
      <c r="K196" s="191"/>
      <c r="L196" s="191"/>
      <c r="M196" s="191"/>
      <c r="N196" s="191"/>
      <c r="O196" s="191"/>
      <c r="P196" s="191"/>
      <c r="Q196" s="191"/>
      <c r="R196" s="191"/>
      <c r="S196" s="191"/>
      <c r="T196" s="191"/>
      <c r="U196" s="191"/>
      <c r="V196" s="191"/>
      <c r="W196" s="191"/>
    </row>
    <row r="197" spans="3:23">
      <c r="C197" s="180"/>
      <c r="D197" s="180"/>
      <c r="E197" s="312"/>
      <c r="F197" s="312"/>
      <c r="G197" s="311"/>
      <c r="H197" s="311"/>
      <c r="I197" s="191"/>
      <c r="J197" s="191"/>
      <c r="K197" s="191"/>
      <c r="L197" s="191"/>
      <c r="M197" s="191"/>
      <c r="N197" s="191"/>
      <c r="O197" s="191"/>
      <c r="P197" s="191"/>
      <c r="Q197" s="191"/>
      <c r="R197" s="191"/>
      <c r="S197" s="191"/>
      <c r="T197" s="191"/>
      <c r="U197" s="191"/>
      <c r="V197" s="191"/>
      <c r="W197" s="191"/>
    </row>
    <row r="198" spans="3:23">
      <c r="C198" s="180"/>
      <c r="D198" s="180"/>
      <c r="E198" s="312"/>
      <c r="F198" s="312"/>
      <c r="G198" s="311"/>
      <c r="H198" s="311"/>
      <c r="I198" s="191"/>
      <c r="J198" s="191"/>
      <c r="K198" s="191"/>
      <c r="L198" s="191"/>
      <c r="M198" s="191"/>
      <c r="N198" s="191"/>
      <c r="O198" s="191"/>
      <c r="P198" s="191"/>
      <c r="Q198" s="191"/>
      <c r="R198" s="191"/>
      <c r="S198" s="191"/>
      <c r="T198" s="191"/>
      <c r="U198" s="191"/>
      <c r="V198" s="191"/>
      <c r="W198" s="191"/>
    </row>
    <row r="199" spans="3:23">
      <c r="C199" s="180"/>
      <c r="D199" s="180"/>
      <c r="E199" s="312"/>
      <c r="F199" s="312"/>
      <c r="G199" s="311"/>
      <c r="H199" s="311"/>
      <c r="I199" s="191"/>
      <c r="J199" s="191"/>
      <c r="K199" s="191"/>
      <c r="L199" s="191"/>
      <c r="M199" s="191"/>
      <c r="N199" s="191"/>
      <c r="O199" s="191"/>
      <c r="P199" s="191"/>
      <c r="Q199" s="191"/>
      <c r="R199" s="191"/>
      <c r="S199" s="191"/>
      <c r="T199" s="191"/>
      <c r="U199" s="191"/>
      <c r="V199" s="191"/>
      <c r="W199" s="191"/>
    </row>
    <row r="200" spans="3:23">
      <c r="C200" s="180"/>
      <c r="D200" s="180"/>
      <c r="E200" s="312"/>
      <c r="F200" s="312"/>
      <c r="G200" s="311"/>
      <c r="H200" s="311"/>
      <c r="I200" s="191"/>
      <c r="J200" s="191"/>
      <c r="K200" s="191"/>
      <c r="L200" s="191"/>
      <c r="M200" s="191"/>
      <c r="N200" s="191"/>
      <c r="O200" s="191"/>
      <c r="P200" s="191"/>
      <c r="Q200" s="191"/>
      <c r="R200" s="191"/>
      <c r="S200" s="191"/>
      <c r="T200" s="191"/>
      <c r="U200" s="191"/>
      <c r="V200" s="191"/>
      <c r="W200" s="191"/>
    </row>
    <row r="201" spans="3:23">
      <c r="C201" s="180"/>
      <c r="D201" s="180"/>
      <c r="E201" s="312"/>
      <c r="F201" s="312"/>
      <c r="G201" s="311"/>
      <c r="H201" s="311"/>
      <c r="I201" s="191"/>
      <c r="J201" s="191"/>
      <c r="K201" s="191"/>
      <c r="L201" s="191"/>
      <c r="M201" s="191"/>
      <c r="N201" s="191"/>
      <c r="O201" s="191"/>
      <c r="P201" s="191"/>
      <c r="Q201" s="191"/>
      <c r="R201" s="191"/>
      <c r="S201" s="191"/>
      <c r="T201" s="191"/>
      <c r="U201" s="191"/>
      <c r="V201" s="191"/>
      <c r="W201" s="191"/>
    </row>
    <row r="202" spans="3:23">
      <c r="C202" s="180"/>
      <c r="D202" s="180"/>
      <c r="E202" s="312"/>
      <c r="F202" s="312"/>
      <c r="G202" s="311"/>
      <c r="H202" s="311"/>
      <c r="I202" s="191"/>
      <c r="J202" s="191"/>
      <c r="K202" s="191"/>
      <c r="L202" s="191"/>
      <c r="M202" s="191"/>
      <c r="N202" s="191"/>
      <c r="O202" s="191"/>
      <c r="P202" s="191"/>
      <c r="Q202" s="191"/>
      <c r="R202" s="191"/>
      <c r="S202" s="191"/>
      <c r="T202" s="191"/>
      <c r="U202" s="191"/>
      <c r="V202" s="191"/>
      <c r="W202" s="191"/>
    </row>
    <row r="203" spans="3:23">
      <c r="C203" s="180"/>
      <c r="D203" s="180"/>
      <c r="E203" s="312"/>
      <c r="F203" s="312"/>
      <c r="G203" s="311"/>
      <c r="H203" s="311"/>
      <c r="I203" s="191"/>
      <c r="J203" s="191"/>
      <c r="K203" s="191"/>
      <c r="L203" s="191"/>
      <c r="M203" s="191"/>
      <c r="N203" s="191"/>
      <c r="O203" s="191"/>
      <c r="P203" s="191"/>
      <c r="Q203" s="191"/>
      <c r="R203" s="191"/>
      <c r="S203" s="191"/>
      <c r="T203" s="191"/>
      <c r="U203" s="191"/>
      <c r="V203" s="191"/>
      <c r="W203" s="191"/>
    </row>
    <row r="204" spans="3:23">
      <c r="C204" s="180"/>
      <c r="D204" s="180"/>
      <c r="E204" s="312"/>
      <c r="F204" s="312"/>
      <c r="G204" s="311"/>
      <c r="H204" s="311"/>
      <c r="I204" s="191"/>
      <c r="J204" s="191"/>
      <c r="K204" s="191"/>
      <c r="L204" s="191"/>
      <c r="M204" s="191"/>
      <c r="N204" s="191"/>
      <c r="O204" s="191"/>
      <c r="P204" s="191"/>
      <c r="Q204" s="191"/>
      <c r="R204" s="191"/>
      <c r="S204" s="191"/>
      <c r="T204" s="191"/>
      <c r="U204" s="191"/>
      <c r="V204" s="191"/>
      <c r="W204" s="191"/>
    </row>
    <row r="205" spans="3:23">
      <c r="C205" s="180"/>
      <c r="D205" s="180"/>
      <c r="E205" s="312"/>
      <c r="F205" s="312"/>
      <c r="G205" s="311"/>
      <c r="H205" s="311"/>
      <c r="I205" s="191"/>
      <c r="J205" s="191"/>
      <c r="K205" s="191"/>
      <c r="L205" s="191"/>
      <c r="M205" s="191"/>
      <c r="N205" s="191"/>
      <c r="O205" s="191"/>
      <c r="P205" s="191"/>
      <c r="Q205" s="191"/>
      <c r="R205" s="191"/>
      <c r="S205" s="191"/>
      <c r="T205" s="191"/>
      <c r="U205" s="191"/>
      <c r="V205" s="191"/>
      <c r="W205" s="191"/>
    </row>
    <row r="206" spans="3:23">
      <c r="C206" s="180"/>
      <c r="D206" s="180"/>
      <c r="E206" s="312"/>
      <c r="F206" s="312"/>
      <c r="G206" s="311"/>
      <c r="H206" s="311"/>
      <c r="I206" s="191"/>
      <c r="J206" s="191"/>
      <c r="K206" s="191"/>
      <c r="L206" s="191"/>
      <c r="M206" s="191"/>
      <c r="N206" s="191"/>
      <c r="O206" s="191"/>
      <c r="P206" s="191"/>
      <c r="Q206" s="191"/>
      <c r="R206" s="191"/>
      <c r="S206" s="191"/>
      <c r="T206" s="191"/>
      <c r="U206" s="191"/>
      <c r="V206" s="191"/>
      <c r="W206" s="191"/>
    </row>
    <row r="207" spans="3:23">
      <c r="C207" s="180"/>
      <c r="D207" s="180"/>
      <c r="E207" s="312"/>
      <c r="F207" s="312"/>
      <c r="G207" s="311"/>
      <c r="H207" s="311"/>
      <c r="I207" s="191"/>
      <c r="J207" s="191"/>
      <c r="K207" s="191"/>
      <c r="L207" s="191"/>
      <c r="M207" s="191"/>
      <c r="N207" s="191"/>
      <c r="O207" s="191"/>
      <c r="P207" s="191"/>
      <c r="Q207" s="191"/>
      <c r="R207" s="191"/>
      <c r="S207" s="191"/>
      <c r="T207" s="191"/>
      <c r="U207" s="191"/>
      <c r="V207" s="191"/>
      <c r="W207" s="191"/>
    </row>
    <row r="208" spans="3:23">
      <c r="C208" s="180"/>
      <c r="D208" s="180"/>
      <c r="E208" s="312"/>
      <c r="F208" s="312"/>
      <c r="G208" s="311"/>
      <c r="H208" s="311"/>
      <c r="I208" s="191"/>
      <c r="J208" s="191"/>
      <c r="K208" s="191"/>
      <c r="L208" s="191"/>
      <c r="M208" s="191"/>
      <c r="N208" s="191"/>
      <c r="O208" s="191"/>
      <c r="P208" s="191"/>
      <c r="Q208" s="191"/>
      <c r="R208" s="191"/>
      <c r="S208" s="191"/>
      <c r="T208" s="191"/>
      <c r="U208" s="191"/>
      <c r="V208" s="191"/>
      <c r="W208" s="191"/>
    </row>
    <row r="209" spans="3:23">
      <c r="C209" s="180"/>
      <c r="D209" s="180"/>
      <c r="E209" s="312"/>
      <c r="F209" s="312"/>
      <c r="G209" s="311"/>
      <c r="H209" s="311"/>
      <c r="I209" s="191"/>
      <c r="J209" s="191"/>
      <c r="K209" s="191"/>
      <c r="L209" s="191"/>
      <c r="M209" s="191"/>
      <c r="N209" s="191"/>
      <c r="O209" s="191"/>
      <c r="P209" s="191"/>
      <c r="Q209" s="191"/>
      <c r="R209" s="191"/>
      <c r="S209" s="191"/>
      <c r="T209" s="191"/>
      <c r="U209" s="191"/>
      <c r="V209" s="191"/>
      <c r="W209" s="191"/>
    </row>
    <row r="210" spans="3:23">
      <c r="C210" s="180"/>
      <c r="D210" s="180"/>
      <c r="E210" s="312"/>
      <c r="F210" s="312"/>
      <c r="G210" s="311"/>
      <c r="H210" s="311"/>
      <c r="I210" s="191"/>
      <c r="J210" s="191"/>
      <c r="K210" s="191"/>
      <c r="L210" s="191"/>
      <c r="M210" s="191"/>
      <c r="N210" s="191"/>
      <c r="O210" s="191"/>
      <c r="P210" s="191"/>
      <c r="Q210" s="191"/>
      <c r="R210" s="191"/>
      <c r="S210" s="191"/>
      <c r="T210" s="191"/>
      <c r="U210" s="191"/>
      <c r="V210" s="191"/>
      <c r="W210" s="191"/>
    </row>
    <row r="211" spans="3:23">
      <c r="C211" s="180"/>
      <c r="D211" s="180"/>
      <c r="E211" s="312"/>
      <c r="F211" s="312"/>
      <c r="G211" s="311"/>
      <c r="H211" s="311"/>
      <c r="I211" s="191"/>
      <c r="J211" s="191"/>
      <c r="K211" s="191"/>
      <c r="L211" s="191"/>
      <c r="M211" s="191"/>
      <c r="N211" s="191"/>
      <c r="O211" s="191"/>
      <c r="P211" s="191"/>
      <c r="Q211" s="191"/>
      <c r="R211" s="191"/>
      <c r="S211" s="191"/>
      <c r="T211" s="191"/>
      <c r="U211" s="191"/>
      <c r="V211" s="191"/>
      <c r="W211" s="191"/>
    </row>
    <row r="212" spans="3:23">
      <c r="C212" s="180"/>
      <c r="D212" s="180"/>
      <c r="E212" s="312"/>
      <c r="F212" s="312"/>
      <c r="G212" s="311"/>
      <c r="H212" s="311"/>
      <c r="I212" s="191"/>
      <c r="J212" s="191"/>
      <c r="K212" s="191"/>
      <c r="L212" s="191"/>
      <c r="M212" s="191"/>
      <c r="N212" s="191"/>
      <c r="O212" s="191"/>
      <c r="P212" s="191"/>
      <c r="Q212" s="191"/>
      <c r="R212" s="191"/>
      <c r="S212" s="191"/>
      <c r="T212" s="191"/>
      <c r="U212" s="191"/>
      <c r="V212" s="191"/>
      <c r="W212" s="191"/>
    </row>
    <row r="213" spans="3:23">
      <c r="C213" s="180"/>
      <c r="D213" s="180"/>
      <c r="E213" s="312"/>
      <c r="F213" s="312"/>
      <c r="G213" s="311"/>
      <c r="H213" s="311"/>
      <c r="I213" s="191"/>
      <c r="J213" s="191"/>
      <c r="K213" s="191"/>
      <c r="L213" s="191"/>
      <c r="M213" s="191"/>
      <c r="N213" s="191"/>
      <c r="O213" s="191"/>
      <c r="P213" s="191"/>
      <c r="Q213" s="191"/>
      <c r="R213" s="191"/>
      <c r="S213" s="191"/>
      <c r="T213" s="191"/>
      <c r="U213" s="191"/>
      <c r="V213" s="191"/>
      <c r="W213" s="191"/>
    </row>
    <row r="214" spans="3:23">
      <c r="C214" s="180"/>
      <c r="D214" s="180"/>
      <c r="E214" s="312"/>
      <c r="F214" s="312"/>
      <c r="G214" s="311"/>
      <c r="H214" s="311"/>
      <c r="I214" s="191"/>
      <c r="J214" s="191"/>
      <c r="K214" s="191"/>
      <c r="L214" s="191"/>
      <c r="M214" s="191"/>
      <c r="N214" s="191"/>
      <c r="O214" s="191"/>
      <c r="P214" s="191"/>
      <c r="Q214" s="191"/>
      <c r="R214" s="191"/>
      <c r="S214" s="191"/>
      <c r="T214" s="191"/>
      <c r="U214" s="191"/>
      <c r="V214" s="191"/>
      <c r="W214" s="191"/>
    </row>
    <row r="215" spans="3:23">
      <c r="C215" s="180"/>
      <c r="D215" s="180"/>
      <c r="E215" s="312"/>
      <c r="F215" s="312"/>
      <c r="G215" s="311"/>
      <c r="H215" s="311"/>
      <c r="I215" s="191"/>
      <c r="J215" s="191"/>
      <c r="K215" s="191"/>
      <c r="L215" s="191"/>
      <c r="M215" s="191"/>
      <c r="N215" s="191"/>
      <c r="O215" s="191"/>
      <c r="P215" s="191"/>
      <c r="Q215" s="191"/>
      <c r="R215" s="191"/>
      <c r="S215" s="191"/>
      <c r="T215" s="191"/>
      <c r="U215" s="191"/>
      <c r="V215" s="191"/>
      <c r="W215" s="191"/>
    </row>
    <row r="216" spans="3:23">
      <c r="C216" s="180"/>
      <c r="D216" s="180"/>
      <c r="E216" s="312"/>
      <c r="F216" s="312"/>
      <c r="G216" s="311"/>
      <c r="H216" s="311"/>
      <c r="I216" s="191"/>
      <c r="J216" s="191"/>
      <c r="K216" s="191"/>
      <c r="L216" s="191"/>
      <c r="M216" s="191"/>
      <c r="N216" s="191"/>
      <c r="O216" s="191"/>
      <c r="P216" s="191"/>
      <c r="Q216" s="191"/>
      <c r="R216" s="191"/>
      <c r="S216" s="191"/>
      <c r="T216" s="191"/>
      <c r="U216" s="191"/>
      <c r="V216" s="191"/>
      <c r="W216" s="191"/>
    </row>
    <row r="217" spans="3:23">
      <c r="C217" s="180"/>
      <c r="D217" s="180"/>
      <c r="E217" s="312"/>
      <c r="F217" s="312"/>
      <c r="G217" s="311"/>
      <c r="H217" s="311"/>
      <c r="I217" s="191"/>
      <c r="J217" s="191"/>
      <c r="K217" s="191"/>
      <c r="L217" s="191"/>
      <c r="M217" s="191"/>
      <c r="N217" s="191"/>
      <c r="O217" s="191"/>
      <c r="P217" s="191"/>
      <c r="Q217" s="191"/>
      <c r="R217" s="191"/>
      <c r="S217" s="191"/>
      <c r="T217" s="191"/>
      <c r="U217" s="191"/>
      <c r="V217" s="191"/>
      <c r="W217" s="191"/>
    </row>
    <row r="218" spans="3:23">
      <c r="C218" s="180"/>
      <c r="D218" s="180"/>
      <c r="E218" s="312"/>
      <c r="F218" s="312"/>
      <c r="G218" s="311"/>
      <c r="H218" s="311"/>
      <c r="I218" s="191"/>
      <c r="J218" s="191"/>
      <c r="K218" s="191"/>
      <c r="L218" s="191"/>
      <c r="M218" s="191"/>
      <c r="N218" s="191"/>
      <c r="O218" s="191"/>
      <c r="P218" s="191"/>
      <c r="Q218" s="191"/>
      <c r="R218" s="191"/>
      <c r="S218" s="191"/>
      <c r="T218" s="191"/>
      <c r="U218" s="191"/>
      <c r="V218" s="191"/>
      <c r="W218" s="191"/>
    </row>
    <row r="219" spans="3:23">
      <c r="C219" s="180"/>
      <c r="D219" s="180"/>
      <c r="E219" s="312"/>
      <c r="F219" s="312"/>
      <c r="G219" s="311"/>
      <c r="H219" s="311"/>
      <c r="I219" s="191"/>
      <c r="J219" s="191"/>
      <c r="K219" s="191"/>
      <c r="L219" s="191"/>
      <c r="M219" s="191"/>
      <c r="N219" s="191"/>
      <c r="O219" s="191"/>
      <c r="P219" s="191"/>
      <c r="Q219" s="191"/>
      <c r="R219" s="191"/>
      <c r="S219" s="191"/>
      <c r="T219" s="191"/>
      <c r="U219" s="191"/>
      <c r="V219" s="191"/>
      <c r="W219" s="191"/>
    </row>
    <row r="220" spans="3:23">
      <c r="C220" s="180"/>
      <c r="D220" s="180"/>
      <c r="E220" s="312"/>
      <c r="F220" s="312"/>
      <c r="G220" s="311"/>
      <c r="H220" s="311"/>
      <c r="I220" s="191"/>
      <c r="J220" s="191"/>
      <c r="K220" s="191"/>
      <c r="L220" s="191"/>
      <c r="M220" s="191"/>
      <c r="N220" s="191"/>
      <c r="O220" s="191"/>
      <c r="P220" s="191"/>
      <c r="Q220" s="191"/>
      <c r="R220" s="191"/>
      <c r="S220" s="191"/>
      <c r="T220" s="191"/>
      <c r="U220" s="191"/>
      <c r="V220" s="191"/>
      <c r="W220" s="191"/>
    </row>
    <row r="221" spans="3:23">
      <c r="C221" s="180"/>
      <c r="D221" s="180"/>
      <c r="E221" s="312"/>
      <c r="F221" s="312"/>
      <c r="G221" s="311"/>
      <c r="H221" s="311"/>
      <c r="I221" s="191"/>
      <c r="J221" s="191"/>
      <c r="K221" s="191"/>
      <c r="L221" s="191"/>
      <c r="M221" s="191"/>
      <c r="N221" s="191"/>
      <c r="O221" s="191"/>
      <c r="P221" s="191"/>
      <c r="Q221" s="191"/>
      <c r="R221" s="191"/>
      <c r="S221" s="191"/>
      <c r="T221" s="191"/>
      <c r="U221" s="191"/>
      <c r="V221" s="191"/>
      <c r="W221" s="191"/>
    </row>
    <row r="222" spans="3:23">
      <c r="C222" s="180"/>
      <c r="D222" s="180"/>
      <c r="E222" s="312"/>
      <c r="F222" s="312"/>
      <c r="G222" s="311"/>
      <c r="H222" s="311"/>
      <c r="I222" s="191"/>
      <c r="J222" s="191"/>
      <c r="K222" s="191"/>
      <c r="L222" s="191"/>
      <c r="M222" s="191"/>
      <c r="N222" s="191"/>
      <c r="O222" s="191"/>
      <c r="P222" s="191"/>
      <c r="Q222" s="191"/>
      <c r="R222" s="191"/>
      <c r="S222" s="191"/>
      <c r="T222" s="191"/>
      <c r="U222" s="191"/>
      <c r="V222" s="191"/>
      <c r="W222" s="191"/>
    </row>
    <row r="223" spans="3:23">
      <c r="C223" s="180"/>
      <c r="D223" s="180"/>
      <c r="E223" s="312"/>
      <c r="F223" s="312"/>
      <c r="G223" s="311"/>
      <c r="H223" s="311"/>
      <c r="I223" s="191"/>
      <c r="J223" s="191"/>
      <c r="K223" s="191"/>
      <c r="L223" s="191"/>
      <c r="M223" s="191"/>
      <c r="N223" s="191"/>
      <c r="O223" s="191"/>
      <c r="P223" s="191"/>
      <c r="Q223" s="191"/>
      <c r="R223" s="191"/>
      <c r="S223" s="191"/>
      <c r="T223" s="191"/>
      <c r="U223" s="191"/>
      <c r="V223" s="191"/>
      <c r="W223" s="191"/>
    </row>
    <row r="224" spans="3:23">
      <c r="C224" s="180"/>
      <c r="D224" s="180"/>
      <c r="E224" s="312"/>
      <c r="F224" s="312"/>
      <c r="G224" s="311"/>
      <c r="H224" s="311"/>
      <c r="I224" s="191"/>
      <c r="J224" s="191"/>
      <c r="K224" s="191"/>
      <c r="L224" s="191"/>
      <c r="M224" s="191"/>
      <c r="N224" s="191"/>
      <c r="O224" s="191"/>
      <c r="P224" s="191"/>
      <c r="Q224" s="191"/>
      <c r="R224" s="191"/>
      <c r="S224" s="191"/>
      <c r="T224" s="191"/>
      <c r="U224" s="191"/>
      <c r="V224" s="191"/>
      <c r="W224" s="191"/>
    </row>
    <row r="225" spans="3:23">
      <c r="C225" s="180"/>
      <c r="D225" s="180"/>
      <c r="E225" s="312"/>
      <c r="F225" s="312"/>
      <c r="G225" s="311"/>
      <c r="H225" s="311"/>
      <c r="I225" s="191"/>
      <c r="J225" s="191"/>
      <c r="K225" s="191"/>
      <c r="L225" s="191"/>
      <c r="M225" s="191"/>
      <c r="N225" s="191"/>
      <c r="O225" s="191"/>
      <c r="P225" s="191"/>
      <c r="Q225" s="191"/>
      <c r="R225" s="191"/>
      <c r="S225" s="191"/>
      <c r="T225" s="191"/>
      <c r="U225" s="191"/>
      <c r="V225" s="191"/>
      <c r="W225" s="191"/>
    </row>
    <row r="226" spans="3:23">
      <c r="C226" s="180"/>
      <c r="D226" s="180"/>
      <c r="E226" s="312"/>
      <c r="F226" s="312"/>
      <c r="G226" s="311"/>
      <c r="H226" s="311"/>
      <c r="I226" s="191"/>
      <c r="J226" s="191"/>
      <c r="K226" s="191"/>
      <c r="L226" s="191"/>
      <c r="M226" s="191"/>
      <c r="N226" s="191"/>
      <c r="O226" s="191"/>
      <c r="P226" s="191"/>
      <c r="Q226" s="191"/>
      <c r="R226" s="191"/>
      <c r="S226" s="191"/>
      <c r="T226" s="191"/>
      <c r="U226" s="191"/>
      <c r="V226" s="191"/>
      <c r="W226" s="191"/>
    </row>
    <row r="227" spans="3:23">
      <c r="C227" s="180"/>
      <c r="D227" s="180"/>
      <c r="E227" s="312"/>
      <c r="F227" s="312"/>
      <c r="G227" s="311"/>
      <c r="H227" s="311"/>
      <c r="I227" s="191"/>
      <c r="J227" s="191"/>
      <c r="K227" s="191"/>
      <c r="L227" s="191"/>
      <c r="M227" s="191"/>
      <c r="N227" s="191"/>
      <c r="O227" s="191"/>
      <c r="P227" s="191"/>
      <c r="Q227" s="191"/>
      <c r="R227" s="191"/>
      <c r="S227" s="191"/>
      <c r="T227" s="191"/>
      <c r="U227" s="191"/>
      <c r="V227" s="191"/>
      <c r="W227" s="191"/>
    </row>
    <row r="228" spans="3:23">
      <c r="C228" s="180"/>
      <c r="D228" s="180"/>
      <c r="E228" s="312"/>
      <c r="F228" s="312"/>
      <c r="G228" s="311"/>
      <c r="H228" s="311"/>
      <c r="I228" s="191"/>
      <c r="J228" s="191"/>
      <c r="K228" s="191"/>
      <c r="L228" s="191"/>
      <c r="M228" s="191"/>
      <c r="N228" s="191"/>
      <c r="O228" s="191"/>
      <c r="P228" s="191"/>
      <c r="Q228" s="191"/>
      <c r="R228" s="191"/>
      <c r="S228" s="191"/>
      <c r="T228" s="191"/>
      <c r="U228" s="191"/>
      <c r="V228" s="191"/>
      <c r="W228" s="191"/>
    </row>
    <row r="229" spans="3:23">
      <c r="C229" s="180"/>
      <c r="D229" s="180"/>
      <c r="E229" s="312"/>
      <c r="F229" s="312"/>
      <c r="G229" s="311"/>
      <c r="H229" s="311"/>
      <c r="I229" s="191"/>
      <c r="J229" s="191"/>
      <c r="K229" s="191"/>
      <c r="L229" s="191"/>
      <c r="M229" s="191"/>
      <c r="N229" s="191"/>
      <c r="O229" s="191"/>
      <c r="P229" s="191"/>
      <c r="Q229" s="191"/>
      <c r="R229" s="191"/>
      <c r="S229" s="191"/>
      <c r="T229" s="191"/>
      <c r="U229" s="191"/>
      <c r="V229" s="191"/>
      <c r="W229" s="191"/>
    </row>
    <row r="230" spans="3:23">
      <c r="C230" s="180"/>
      <c r="D230" s="180"/>
      <c r="E230" s="312"/>
      <c r="F230" s="312"/>
      <c r="G230" s="311"/>
      <c r="H230" s="311"/>
      <c r="I230" s="191"/>
      <c r="J230" s="191"/>
      <c r="K230" s="191"/>
      <c r="L230" s="191"/>
      <c r="M230" s="191"/>
      <c r="N230" s="191"/>
      <c r="O230" s="191"/>
      <c r="P230" s="191"/>
      <c r="Q230" s="191"/>
      <c r="R230" s="191"/>
      <c r="S230" s="191"/>
      <c r="T230" s="191"/>
      <c r="U230" s="191"/>
      <c r="V230" s="191"/>
      <c r="W230" s="191"/>
    </row>
    <row r="231" spans="3:23">
      <c r="C231" s="180"/>
      <c r="D231" s="180"/>
      <c r="E231" s="312"/>
      <c r="F231" s="312"/>
      <c r="G231" s="311"/>
      <c r="H231" s="311"/>
      <c r="I231" s="191"/>
      <c r="J231" s="191"/>
      <c r="K231" s="191"/>
      <c r="L231" s="191"/>
      <c r="M231" s="191"/>
      <c r="N231" s="191"/>
      <c r="O231" s="191"/>
      <c r="P231" s="191"/>
      <c r="Q231" s="191"/>
      <c r="R231" s="191"/>
      <c r="S231" s="191"/>
      <c r="T231" s="191"/>
      <c r="U231" s="191"/>
      <c r="V231" s="191"/>
      <c r="W231" s="191"/>
    </row>
    <row r="232" spans="3:23">
      <c r="C232" s="180"/>
      <c r="D232" s="180"/>
      <c r="E232" s="312"/>
      <c r="F232" s="312"/>
      <c r="G232" s="311"/>
      <c r="H232" s="311"/>
      <c r="I232" s="191"/>
      <c r="J232" s="191"/>
      <c r="K232" s="191"/>
      <c r="L232" s="191"/>
      <c r="M232" s="191"/>
      <c r="N232" s="191"/>
      <c r="O232" s="191"/>
      <c r="P232" s="191"/>
      <c r="Q232" s="191"/>
      <c r="R232" s="191"/>
      <c r="S232" s="191"/>
      <c r="T232" s="191"/>
      <c r="U232" s="191"/>
      <c r="V232" s="191"/>
      <c r="W232" s="191"/>
    </row>
    <row r="233" spans="3:23">
      <c r="C233" s="180"/>
      <c r="D233" s="180"/>
      <c r="E233" s="312"/>
      <c r="F233" s="312"/>
      <c r="G233" s="311"/>
      <c r="H233" s="311"/>
      <c r="I233" s="191"/>
      <c r="J233" s="191"/>
      <c r="K233" s="191"/>
      <c r="L233" s="191"/>
      <c r="M233" s="191"/>
      <c r="N233" s="191"/>
      <c r="O233" s="191"/>
      <c r="P233" s="191"/>
      <c r="Q233" s="191"/>
      <c r="R233" s="191"/>
      <c r="S233" s="191"/>
      <c r="T233" s="191"/>
      <c r="U233" s="191"/>
      <c r="V233" s="191"/>
      <c r="W233" s="191"/>
    </row>
    <row r="234" spans="3:23">
      <c r="C234" s="180"/>
      <c r="D234" s="180"/>
      <c r="E234" s="312"/>
      <c r="F234" s="312"/>
      <c r="G234" s="311"/>
      <c r="H234" s="311"/>
      <c r="I234" s="191"/>
      <c r="J234" s="191"/>
      <c r="K234" s="191"/>
      <c r="L234" s="191"/>
      <c r="M234" s="191"/>
      <c r="N234" s="191"/>
      <c r="O234" s="191"/>
      <c r="P234" s="191"/>
      <c r="Q234" s="191"/>
      <c r="R234" s="191"/>
      <c r="S234" s="191"/>
      <c r="T234" s="191"/>
      <c r="U234" s="191"/>
      <c r="V234" s="191"/>
      <c r="W234" s="191"/>
    </row>
    <row r="235" spans="3:23">
      <c r="C235" s="180"/>
      <c r="D235" s="180"/>
      <c r="E235" s="312"/>
      <c r="F235" s="312"/>
      <c r="G235" s="311"/>
      <c r="H235" s="311"/>
      <c r="I235" s="191"/>
      <c r="J235" s="191"/>
      <c r="K235" s="191"/>
      <c r="L235" s="191"/>
      <c r="M235" s="191"/>
      <c r="N235" s="191"/>
      <c r="O235" s="191"/>
      <c r="P235" s="191"/>
      <c r="Q235" s="191"/>
      <c r="R235" s="191"/>
      <c r="S235" s="191"/>
      <c r="T235" s="191"/>
      <c r="U235" s="191"/>
      <c r="V235" s="191"/>
      <c r="W235" s="191"/>
    </row>
    <row r="236" spans="3:23">
      <c r="C236" s="180"/>
      <c r="D236" s="180"/>
      <c r="E236" s="312"/>
      <c r="F236" s="312"/>
      <c r="G236" s="311"/>
      <c r="H236" s="311"/>
      <c r="I236" s="191"/>
      <c r="J236" s="191"/>
      <c r="K236" s="191"/>
      <c r="L236" s="191"/>
      <c r="M236" s="191"/>
      <c r="N236" s="191"/>
      <c r="O236" s="191"/>
      <c r="P236" s="191"/>
      <c r="Q236" s="191"/>
      <c r="R236" s="191"/>
      <c r="S236" s="191"/>
      <c r="T236" s="191"/>
      <c r="U236" s="191"/>
      <c r="V236" s="191"/>
      <c r="W236" s="191"/>
    </row>
    <row r="237" spans="3:23">
      <c r="C237" s="180"/>
      <c r="D237" s="180"/>
      <c r="E237" s="312"/>
      <c r="F237" s="312"/>
      <c r="G237" s="311"/>
      <c r="H237" s="311"/>
      <c r="I237" s="191"/>
      <c r="J237" s="191"/>
      <c r="K237" s="191"/>
      <c r="L237" s="191"/>
      <c r="M237" s="191"/>
      <c r="N237" s="191"/>
      <c r="O237" s="191"/>
      <c r="P237" s="191"/>
      <c r="Q237" s="191"/>
      <c r="R237" s="191"/>
      <c r="S237" s="191"/>
      <c r="T237" s="191"/>
      <c r="U237" s="191"/>
      <c r="V237" s="191"/>
      <c r="W237" s="191"/>
    </row>
    <row r="238" spans="3:23">
      <c r="C238" s="180"/>
      <c r="D238" s="180"/>
      <c r="E238" s="312"/>
      <c r="F238" s="312"/>
      <c r="G238" s="311"/>
      <c r="H238" s="311"/>
      <c r="I238" s="191"/>
      <c r="J238" s="191"/>
      <c r="K238" s="191"/>
      <c r="L238" s="191"/>
      <c r="M238" s="191"/>
      <c r="N238" s="191"/>
      <c r="O238" s="191"/>
      <c r="P238" s="191"/>
      <c r="Q238" s="191"/>
      <c r="R238" s="191"/>
      <c r="S238" s="191"/>
      <c r="T238" s="191"/>
      <c r="U238" s="191"/>
      <c r="V238" s="191"/>
      <c r="W238" s="191"/>
    </row>
    <row r="239" spans="3:23">
      <c r="C239" s="180"/>
      <c r="D239" s="180"/>
      <c r="E239" s="312"/>
      <c r="F239" s="312"/>
      <c r="G239" s="311"/>
      <c r="H239" s="311"/>
      <c r="I239" s="191"/>
      <c r="J239" s="191"/>
      <c r="K239" s="191"/>
      <c r="L239" s="191"/>
      <c r="M239" s="191"/>
      <c r="N239" s="191"/>
      <c r="O239" s="191"/>
      <c r="P239" s="191"/>
      <c r="Q239" s="191"/>
      <c r="R239" s="191"/>
      <c r="S239" s="191"/>
      <c r="T239" s="191"/>
      <c r="U239" s="191"/>
      <c r="V239" s="191"/>
      <c r="W239" s="191"/>
    </row>
    <row r="240" spans="3:23">
      <c r="C240" s="180"/>
      <c r="D240" s="180"/>
      <c r="E240" s="312"/>
      <c r="F240" s="312"/>
      <c r="G240" s="311"/>
      <c r="H240" s="311"/>
      <c r="I240" s="191"/>
      <c r="J240" s="191"/>
      <c r="K240" s="191"/>
      <c r="L240" s="191"/>
      <c r="M240" s="191"/>
      <c r="N240" s="191"/>
      <c r="O240" s="191"/>
      <c r="P240" s="191"/>
      <c r="Q240" s="191"/>
      <c r="R240" s="191"/>
      <c r="S240" s="191"/>
      <c r="T240" s="191"/>
      <c r="U240" s="191"/>
      <c r="V240" s="191"/>
      <c r="W240" s="191"/>
    </row>
    <row r="241" spans="3:23">
      <c r="C241" s="180"/>
      <c r="D241" s="180"/>
      <c r="E241" s="312"/>
      <c r="F241" s="312"/>
      <c r="G241" s="311"/>
      <c r="H241" s="311"/>
      <c r="I241" s="191"/>
      <c r="J241" s="191"/>
      <c r="K241" s="191"/>
      <c r="L241" s="191"/>
      <c r="M241" s="191"/>
      <c r="N241" s="191"/>
      <c r="O241" s="191"/>
      <c r="P241" s="191"/>
      <c r="Q241" s="191"/>
      <c r="R241" s="191"/>
      <c r="S241" s="191"/>
      <c r="T241" s="191"/>
      <c r="U241" s="191"/>
      <c r="V241" s="191"/>
      <c r="W241" s="191"/>
    </row>
    <row r="242" spans="3:23">
      <c r="C242" s="180"/>
      <c r="D242" s="180"/>
      <c r="E242" s="312"/>
      <c r="F242" s="312"/>
      <c r="G242" s="311"/>
      <c r="H242" s="311"/>
      <c r="I242" s="191"/>
      <c r="J242" s="191"/>
      <c r="K242" s="191"/>
      <c r="L242" s="191"/>
      <c r="M242" s="191"/>
      <c r="N242" s="191"/>
      <c r="O242" s="191"/>
      <c r="P242" s="191"/>
      <c r="Q242" s="191"/>
      <c r="R242" s="191"/>
      <c r="S242" s="191"/>
      <c r="T242" s="191"/>
      <c r="U242" s="191"/>
      <c r="V242" s="191"/>
      <c r="W242" s="191"/>
    </row>
    <row r="243" spans="3:23">
      <c r="C243" s="180"/>
      <c r="D243" s="180"/>
      <c r="E243" s="312"/>
      <c r="F243" s="312"/>
      <c r="G243" s="311"/>
      <c r="H243" s="311"/>
      <c r="I243" s="191"/>
      <c r="J243" s="191"/>
      <c r="K243" s="191"/>
      <c r="L243" s="191"/>
      <c r="M243" s="191"/>
      <c r="N243" s="191"/>
      <c r="O243" s="191"/>
      <c r="P243" s="191"/>
      <c r="Q243" s="191"/>
      <c r="R243" s="191"/>
      <c r="S243" s="191"/>
      <c r="T243" s="191"/>
      <c r="U243" s="191"/>
      <c r="V243" s="191"/>
      <c r="W243" s="191"/>
    </row>
    <row r="244" spans="3:23">
      <c r="C244" s="180"/>
      <c r="D244" s="180"/>
      <c r="E244" s="312"/>
      <c r="F244" s="312"/>
      <c r="G244" s="311"/>
      <c r="H244" s="311"/>
      <c r="I244" s="191"/>
      <c r="J244" s="191"/>
      <c r="K244" s="191"/>
      <c r="L244" s="191"/>
      <c r="M244" s="191"/>
      <c r="N244" s="191"/>
      <c r="O244" s="191"/>
      <c r="P244" s="191"/>
      <c r="Q244" s="191"/>
      <c r="R244" s="191"/>
      <c r="S244" s="191"/>
      <c r="T244" s="191"/>
      <c r="U244" s="191"/>
      <c r="V244" s="191"/>
      <c r="W244" s="191"/>
    </row>
    <row r="245" spans="3:23">
      <c r="C245" s="180"/>
      <c r="D245" s="180"/>
      <c r="E245" s="312"/>
      <c r="F245" s="312"/>
      <c r="G245" s="311"/>
      <c r="H245" s="311"/>
      <c r="I245" s="191"/>
      <c r="J245" s="191"/>
      <c r="K245" s="191"/>
      <c r="L245" s="191"/>
      <c r="M245" s="191"/>
      <c r="N245" s="191"/>
      <c r="O245" s="191"/>
      <c r="P245" s="191"/>
      <c r="Q245" s="191"/>
      <c r="R245" s="191"/>
      <c r="S245" s="191"/>
      <c r="T245" s="191"/>
      <c r="U245" s="191"/>
      <c r="V245" s="191"/>
      <c r="W245" s="191"/>
    </row>
    <row r="246" spans="3:23">
      <c r="C246" s="180"/>
      <c r="D246" s="180"/>
      <c r="E246" s="312"/>
      <c r="F246" s="312"/>
      <c r="G246" s="311"/>
      <c r="H246" s="311"/>
      <c r="I246" s="191"/>
      <c r="J246" s="191"/>
      <c r="K246" s="191"/>
      <c r="L246" s="191"/>
      <c r="M246" s="191"/>
      <c r="N246" s="191"/>
      <c r="O246" s="191"/>
      <c r="P246" s="191"/>
      <c r="Q246" s="191"/>
      <c r="R246" s="191"/>
      <c r="S246" s="191"/>
      <c r="T246" s="191"/>
      <c r="U246" s="191"/>
      <c r="V246" s="191"/>
      <c r="W246" s="191"/>
    </row>
    <row r="247" spans="3:23">
      <c r="C247" s="180"/>
      <c r="D247" s="180"/>
      <c r="E247" s="312"/>
      <c r="F247" s="312"/>
      <c r="G247" s="311"/>
      <c r="H247" s="311"/>
      <c r="I247" s="191"/>
      <c r="J247" s="191"/>
      <c r="K247" s="191"/>
      <c r="L247" s="191"/>
      <c r="M247" s="191"/>
      <c r="N247" s="191"/>
      <c r="O247" s="191"/>
      <c r="P247" s="191"/>
      <c r="Q247" s="191"/>
      <c r="R247" s="191"/>
      <c r="S247" s="191"/>
      <c r="T247" s="191"/>
      <c r="U247" s="191"/>
      <c r="V247" s="191"/>
      <c r="W247" s="191"/>
    </row>
    <row r="248" spans="3:23">
      <c r="C248" s="180"/>
      <c r="D248" s="180"/>
      <c r="E248" s="312"/>
      <c r="F248" s="312"/>
      <c r="G248" s="311"/>
      <c r="H248" s="311"/>
      <c r="I248" s="191"/>
      <c r="J248" s="191"/>
      <c r="K248" s="191"/>
      <c r="L248" s="191"/>
      <c r="M248" s="191"/>
      <c r="N248" s="191"/>
      <c r="O248" s="191"/>
      <c r="P248" s="191"/>
      <c r="Q248" s="191"/>
      <c r="R248" s="191"/>
      <c r="S248" s="191"/>
      <c r="T248" s="191"/>
      <c r="U248" s="191"/>
      <c r="V248" s="191"/>
      <c r="W248" s="191"/>
    </row>
    <row r="249" spans="3:23">
      <c r="C249" s="180"/>
      <c r="D249" s="180"/>
      <c r="E249" s="312"/>
      <c r="F249" s="312"/>
      <c r="G249" s="311"/>
      <c r="H249" s="311"/>
      <c r="I249" s="191"/>
      <c r="J249" s="191"/>
      <c r="K249" s="191"/>
      <c r="L249" s="191"/>
      <c r="M249" s="191"/>
      <c r="N249" s="191"/>
      <c r="O249" s="191"/>
      <c r="P249" s="191"/>
      <c r="Q249" s="191"/>
      <c r="R249" s="191"/>
      <c r="S249" s="191"/>
      <c r="T249" s="191"/>
      <c r="U249" s="191"/>
      <c r="V249" s="191"/>
      <c r="W249" s="191"/>
    </row>
    <row r="250" spans="3:23">
      <c r="C250" s="180"/>
      <c r="D250" s="180"/>
      <c r="E250" s="312"/>
      <c r="F250" s="312"/>
      <c r="G250" s="311"/>
      <c r="H250" s="311"/>
      <c r="I250" s="191"/>
      <c r="J250" s="191"/>
      <c r="K250" s="191"/>
      <c r="L250" s="191"/>
      <c r="M250" s="191"/>
      <c r="N250" s="191"/>
      <c r="O250" s="191"/>
      <c r="P250" s="191"/>
      <c r="Q250" s="191"/>
      <c r="R250" s="191"/>
      <c r="S250" s="191"/>
      <c r="T250" s="191"/>
      <c r="U250" s="191"/>
      <c r="V250" s="191"/>
      <c r="W250" s="191"/>
    </row>
    <row r="251" spans="3:23">
      <c r="C251" s="180"/>
      <c r="D251" s="180"/>
      <c r="E251" s="312"/>
      <c r="F251" s="312"/>
      <c r="G251" s="311"/>
      <c r="H251" s="311"/>
      <c r="I251" s="191"/>
      <c r="J251" s="191"/>
      <c r="K251" s="191"/>
      <c r="L251" s="191"/>
      <c r="M251" s="191"/>
      <c r="N251" s="191"/>
      <c r="O251" s="191"/>
      <c r="P251" s="191"/>
      <c r="Q251" s="191"/>
      <c r="R251" s="191"/>
      <c r="S251" s="191"/>
      <c r="T251" s="191"/>
      <c r="U251" s="191"/>
      <c r="V251" s="191"/>
      <c r="W251" s="191"/>
    </row>
    <row r="252" spans="3:23">
      <c r="C252" s="180"/>
      <c r="D252" s="180"/>
      <c r="E252" s="312"/>
      <c r="F252" s="312"/>
      <c r="G252" s="311"/>
      <c r="H252" s="311"/>
      <c r="I252" s="191"/>
      <c r="J252" s="191"/>
      <c r="K252" s="191"/>
      <c r="L252" s="191"/>
      <c r="M252" s="191"/>
      <c r="N252" s="191"/>
      <c r="O252" s="191"/>
      <c r="P252" s="191"/>
      <c r="Q252" s="191"/>
      <c r="R252" s="191"/>
      <c r="S252" s="191"/>
      <c r="T252" s="191"/>
      <c r="U252" s="191"/>
      <c r="V252" s="191"/>
      <c r="W252" s="191"/>
    </row>
    <row r="253" spans="3:23">
      <c r="C253" s="180"/>
      <c r="D253" s="180"/>
      <c r="E253" s="312"/>
      <c r="F253" s="312"/>
      <c r="G253" s="311"/>
      <c r="H253" s="311"/>
      <c r="I253" s="191"/>
      <c r="J253" s="191"/>
      <c r="K253" s="191"/>
      <c r="L253" s="191"/>
      <c r="M253" s="191"/>
      <c r="N253" s="191"/>
      <c r="O253" s="191"/>
      <c r="P253" s="191"/>
      <c r="Q253" s="191"/>
      <c r="R253" s="191"/>
      <c r="S253" s="191"/>
      <c r="T253" s="191"/>
      <c r="U253" s="191"/>
      <c r="V253" s="191"/>
      <c r="W253" s="191"/>
    </row>
    <row r="254" spans="3:23">
      <c r="C254" s="180"/>
      <c r="D254" s="180"/>
      <c r="E254" s="312"/>
      <c r="F254" s="312"/>
      <c r="G254" s="311"/>
      <c r="H254" s="311"/>
      <c r="I254" s="191"/>
      <c r="J254" s="191"/>
      <c r="K254" s="191"/>
      <c r="L254" s="191"/>
      <c r="M254" s="191"/>
      <c r="N254" s="191"/>
      <c r="O254" s="191"/>
      <c r="P254" s="191"/>
      <c r="Q254" s="191"/>
      <c r="R254" s="191"/>
      <c r="S254" s="191"/>
      <c r="T254" s="191"/>
      <c r="U254" s="191"/>
      <c r="V254" s="191"/>
      <c r="W254" s="191"/>
    </row>
    <row r="255" spans="3:23">
      <c r="C255" s="180"/>
      <c r="D255" s="180"/>
      <c r="E255" s="312"/>
      <c r="F255" s="312"/>
      <c r="G255" s="311"/>
      <c r="H255" s="311"/>
      <c r="I255" s="191"/>
      <c r="J255" s="191"/>
      <c r="K255" s="191"/>
      <c r="L255" s="191"/>
      <c r="M255" s="191"/>
      <c r="N255" s="191"/>
      <c r="O255" s="191"/>
      <c r="P255" s="191"/>
      <c r="Q255" s="191"/>
      <c r="R255" s="191"/>
      <c r="S255" s="191"/>
      <c r="T255" s="191"/>
      <c r="U255" s="191"/>
      <c r="V255" s="191"/>
      <c r="W255" s="191"/>
    </row>
    <row r="256" spans="3:23">
      <c r="C256" s="180"/>
      <c r="D256" s="180"/>
      <c r="E256" s="312"/>
      <c r="F256" s="312"/>
      <c r="G256" s="311"/>
      <c r="H256" s="311"/>
      <c r="I256" s="191"/>
      <c r="J256" s="191"/>
      <c r="K256" s="191"/>
      <c r="L256" s="191"/>
      <c r="M256" s="191"/>
      <c r="N256" s="191"/>
      <c r="O256" s="191"/>
      <c r="P256" s="191"/>
      <c r="Q256" s="191"/>
      <c r="R256" s="191"/>
      <c r="S256" s="191"/>
      <c r="T256" s="191"/>
      <c r="U256" s="191"/>
      <c r="V256" s="191"/>
      <c r="W256" s="191"/>
    </row>
    <row r="257" spans="3:23">
      <c r="C257" s="180"/>
      <c r="D257" s="180"/>
      <c r="E257" s="312"/>
      <c r="F257" s="312"/>
      <c r="G257" s="311"/>
      <c r="H257" s="311"/>
      <c r="I257" s="191"/>
      <c r="J257" s="191"/>
      <c r="K257" s="191"/>
      <c r="L257" s="191"/>
      <c r="M257" s="191"/>
      <c r="N257" s="191"/>
      <c r="O257" s="191"/>
      <c r="P257" s="191"/>
      <c r="Q257" s="191"/>
      <c r="R257" s="191"/>
      <c r="S257" s="191"/>
      <c r="T257" s="191"/>
      <c r="U257" s="191"/>
      <c r="V257" s="191"/>
      <c r="W257" s="191"/>
    </row>
    <row r="258" spans="3:23">
      <c r="C258" s="180"/>
      <c r="D258" s="180"/>
      <c r="E258" s="312"/>
      <c r="F258" s="312"/>
      <c r="G258" s="311"/>
      <c r="H258" s="311"/>
      <c r="I258" s="191"/>
      <c r="J258" s="191"/>
      <c r="K258" s="191"/>
      <c r="L258" s="191"/>
      <c r="M258" s="191"/>
      <c r="N258" s="191"/>
      <c r="O258" s="191"/>
      <c r="P258" s="191"/>
      <c r="Q258" s="191"/>
      <c r="R258" s="191"/>
      <c r="S258" s="191"/>
      <c r="T258" s="191"/>
      <c r="U258" s="191"/>
      <c r="V258" s="191"/>
      <c r="W258" s="191"/>
    </row>
    <row r="259" spans="3:23">
      <c r="C259" s="180"/>
      <c r="D259" s="180"/>
      <c r="E259" s="312"/>
      <c r="F259" s="312"/>
      <c r="G259" s="311"/>
      <c r="H259" s="311"/>
      <c r="I259" s="191"/>
      <c r="J259" s="191"/>
      <c r="K259" s="191"/>
      <c r="L259" s="191"/>
      <c r="M259" s="191"/>
      <c r="N259" s="191"/>
      <c r="O259" s="191"/>
      <c r="P259" s="191"/>
      <c r="Q259" s="191"/>
      <c r="R259" s="191"/>
      <c r="S259" s="191"/>
      <c r="T259" s="191"/>
      <c r="U259" s="191"/>
      <c r="V259" s="191"/>
      <c r="W259" s="191"/>
    </row>
    <row r="260" spans="3:23">
      <c r="C260" s="180"/>
      <c r="D260" s="180"/>
      <c r="E260" s="312"/>
      <c r="F260" s="312"/>
      <c r="G260" s="311"/>
      <c r="H260" s="311"/>
      <c r="I260" s="191"/>
      <c r="J260" s="191"/>
      <c r="K260" s="191"/>
      <c r="L260" s="191"/>
      <c r="M260" s="191"/>
      <c r="N260" s="191"/>
      <c r="O260" s="191"/>
      <c r="P260" s="191"/>
      <c r="Q260" s="191"/>
      <c r="R260" s="191"/>
      <c r="S260" s="191"/>
      <c r="T260" s="191"/>
      <c r="U260" s="191"/>
      <c r="V260" s="191"/>
      <c r="W260" s="191"/>
    </row>
    <row r="261" spans="3:23">
      <c r="C261" s="180"/>
      <c r="D261" s="180"/>
      <c r="E261" s="312"/>
      <c r="F261" s="312"/>
      <c r="G261" s="311"/>
      <c r="H261" s="311"/>
      <c r="I261" s="191"/>
      <c r="J261" s="191"/>
      <c r="K261" s="191"/>
      <c r="L261" s="191"/>
      <c r="M261" s="191"/>
      <c r="N261" s="191"/>
      <c r="O261" s="191"/>
      <c r="P261" s="191"/>
      <c r="Q261" s="191"/>
      <c r="R261" s="191"/>
      <c r="S261" s="191"/>
      <c r="T261" s="191"/>
      <c r="U261" s="191"/>
      <c r="V261" s="191"/>
      <c r="W261" s="191"/>
    </row>
    <row r="262" spans="3:23">
      <c r="C262" s="180"/>
      <c r="D262" s="180"/>
      <c r="E262" s="312"/>
      <c r="F262" s="312"/>
      <c r="G262" s="311"/>
      <c r="H262" s="311"/>
      <c r="I262" s="191"/>
      <c r="J262" s="191"/>
      <c r="K262" s="191"/>
      <c r="L262" s="191"/>
      <c r="M262" s="191"/>
      <c r="N262" s="191"/>
      <c r="O262" s="191"/>
      <c r="P262" s="191"/>
      <c r="Q262" s="191"/>
      <c r="R262" s="191"/>
      <c r="S262" s="191"/>
      <c r="T262" s="191"/>
      <c r="U262" s="191"/>
      <c r="V262" s="191"/>
      <c r="W262" s="191"/>
    </row>
    <row r="263" spans="3:23">
      <c r="C263" s="180"/>
      <c r="D263" s="180"/>
      <c r="E263" s="312"/>
      <c r="F263" s="312"/>
      <c r="G263" s="311"/>
      <c r="H263" s="311"/>
      <c r="I263" s="191"/>
      <c r="J263" s="191"/>
      <c r="K263" s="191"/>
      <c r="L263" s="191"/>
      <c r="M263" s="191"/>
      <c r="N263" s="191"/>
      <c r="O263" s="191"/>
      <c r="P263" s="191"/>
      <c r="Q263" s="191"/>
      <c r="R263" s="191"/>
      <c r="S263" s="191"/>
      <c r="T263" s="191"/>
      <c r="U263" s="191"/>
      <c r="V263" s="191"/>
      <c r="W263" s="191"/>
    </row>
    <row r="264" spans="3:23">
      <c r="C264" s="180"/>
      <c r="D264" s="180"/>
      <c r="E264" s="312"/>
      <c r="F264" s="312"/>
      <c r="G264" s="311"/>
      <c r="H264" s="311"/>
      <c r="I264" s="191"/>
      <c r="J264" s="191"/>
      <c r="K264" s="191"/>
      <c r="L264" s="191"/>
      <c r="M264" s="191"/>
      <c r="N264" s="191"/>
      <c r="O264" s="191"/>
      <c r="P264" s="191"/>
      <c r="Q264" s="191"/>
      <c r="R264" s="191"/>
      <c r="S264" s="191"/>
      <c r="T264" s="191"/>
      <c r="U264" s="191"/>
      <c r="V264" s="191"/>
      <c r="W264" s="191"/>
    </row>
    <row r="265" spans="3:23">
      <c r="C265" s="180"/>
      <c r="D265" s="180"/>
      <c r="E265" s="312"/>
      <c r="F265" s="312"/>
      <c r="G265" s="311"/>
      <c r="H265" s="311"/>
      <c r="I265" s="191"/>
      <c r="J265" s="191"/>
      <c r="K265" s="191"/>
      <c r="L265" s="191"/>
      <c r="M265" s="191"/>
      <c r="N265" s="191"/>
      <c r="O265" s="191"/>
      <c r="P265" s="191"/>
      <c r="Q265" s="191"/>
      <c r="R265" s="191"/>
      <c r="S265" s="191"/>
      <c r="T265" s="191"/>
      <c r="U265" s="191"/>
      <c r="V265" s="191"/>
      <c r="W265" s="191"/>
    </row>
    <row r="266" spans="3:23">
      <c r="C266" s="180"/>
      <c r="D266" s="180"/>
      <c r="E266" s="312"/>
      <c r="F266" s="312"/>
      <c r="G266" s="311"/>
      <c r="H266" s="311"/>
      <c r="I266" s="191"/>
      <c r="J266" s="191"/>
      <c r="K266" s="191"/>
      <c r="L266" s="191"/>
      <c r="M266" s="191"/>
      <c r="N266" s="191"/>
      <c r="O266" s="191"/>
      <c r="P266" s="191"/>
      <c r="Q266" s="191"/>
      <c r="R266" s="191"/>
      <c r="S266" s="191"/>
      <c r="T266" s="191"/>
      <c r="U266" s="191"/>
      <c r="V266" s="191"/>
      <c r="W266" s="191"/>
    </row>
    <row r="267" spans="3:23">
      <c r="C267" s="180"/>
      <c r="D267" s="180"/>
      <c r="E267" s="312"/>
      <c r="F267" s="312"/>
      <c r="G267" s="311"/>
      <c r="H267" s="311"/>
      <c r="I267" s="191"/>
      <c r="J267" s="191"/>
      <c r="K267" s="191"/>
      <c r="L267" s="191"/>
      <c r="M267" s="191"/>
      <c r="N267" s="191"/>
      <c r="O267" s="191"/>
      <c r="P267" s="191"/>
      <c r="Q267" s="191"/>
      <c r="R267" s="191"/>
      <c r="S267" s="191"/>
      <c r="T267" s="191"/>
      <c r="U267" s="191"/>
      <c r="V267" s="191"/>
      <c r="W267" s="191"/>
    </row>
    <row r="268" spans="3:23">
      <c r="C268" s="180"/>
      <c r="D268" s="180"/>
      <c r="E268" s="312"/>
      <c r="F268" s="312"/>
      <c r="G268" s="311"/>
      <c r="H268" s="311"/>
      <c r="I268" s="191"/>
      <c r="J268" s="191"/>
      <c r="K268" s="191"/>
      <c r="L268" s="191"/>
      <c r="M268" s="191"/>
      <c r="N268" s="191"/>
      <c r="O268" s="191"/>
      <c r="P268" s="191"/>
      <c r="Q268" s="191"/>
      <c r="R268" s="191"/>
      <c r="S268" s="191"/>
      <c r="T268" s="191"/>
      <c r="U268" s="191"/>
      <c r="V268" s="191"/>
      <c r="W268" s="191"/>
    </row>
    <row r="269" spans="3:23">
      <c r="C269" s="180"/>
      <c r="D269" s="180"/>
      <c r="E269" s="312"/>
      <c r="F269" s="312"/>
      <c r="G269" s="311"/>
      <c r="H269" s="311"/>
      <c r="I269" s="191"/>
      <c r="J269" s="191"/>
      <c r="K269" s="191"/>
      <c r="L269" s="191"/>
      <c r="M269" s="191"/>
      <c r="N269" s="191"/>
      <c r="O269" s="191"/>
      <c r="P269" s="191"/>
      <c r="Q269" s="191"/>
      <c r="R269" s="191"/>
      <c r="S269" s="191"/>
      <c r="T269" s="191"/>
      <c r="U269" s="191"/>
      <c r="V269" s="191"/>
      <c r="W269" s="191"/>
    </row>
    <row r="270" spans="3:23">
      <c r="C270" s="180"/>
      <c r="D270" s="180"/>
      <c r="E270" s="312"/>
      <c r="F270" s="312"/>
      <c r="G270" s="311"/>
      <c r="H270" s="311"/>
      <c r="I270" s="191"/>
      <c r="J270" s="191"/>
      <c r="K270" s="191"/>
      <c r="L270" s="191"/>
      <c r="M270" s="191"/>
      <c r="N270" s="191"/>
      <c r="O270" s="191"/>
      <c r="P270" s="191"/>
      <c r="Q270" s="191"/>
      <c r="R270" s="191"/>
      <c r="S270" s="191"/>
      <c r="T270" s="191"/>
      <c r="U270" s="191"/>
      <c r="V270" s="191"/>
      <c r="W270" s="191"/>
    </row>
    <row r="271" spans="3:23">
      <c r="C271" s="180"/>
      <c r="D271" s="180"/>
      <c r="E271" s="312"/>
      <c r="F271" s="312"/>
      <c r="G271" s="311"/>
      <c r="H271" s="311"/>
      <c r="I271" s="191"/>
      <c r="J271" s="191"/>
      <c r="K271" s="191"/>
      <c r="L271" s="191"/>
      <c r="M271" s="191"/>
      <c r="N271" s="191"/>
      <c r="O271" s="191"/>
      <c r="P271" s="191"/>
      <c r="Q271" s="191"/>
      <c r="R271" s="191"/>
      <c r="S271" s="191"/>
      <c r="T271" s="191"/>
      <c r="U271" s="191"/>
      <c r="V271" s="191"/>
      <c r="W271" s="191"/>
    </row>
    <row r="272" spans="3:23">
      <c r="C272" s="180"/>
      <c r="D272" s="180"/>
      <c r="E272" s="312"/>
      <c r="F272" s="312"/>
      <c r="G272" s="311"/>
      <c r="H272" s="311"/>
      <c r="I272" s="191"/>
      <c r="J272" s="191"/>
      <c r="K272" s="191"/>
      <c r="L272" s="191"/>
      <c r="M272" s="191"/>
      <c r="N272" s="191"/>
      <c r="O272" s="191"/>
      <c r="P272" s="191"/>
      <c r="Q272" s="191"/>
      <c r="R272" s="191"/>
      <c r="S272" s="191"/>
      <c r="T272" s="191"/>
      <c r="U272" s="191"/>
      <c r="V272" s="191"/>
      <c r="W272" s="191"/>
    </row>
    <row r="273" spans="3:23">
      <c r="C273" s="180"/>
      <c r="D273" s="180"/>
      <c r="E273" s="312"/>
      <c r="F273" s="312"/>
      <c r="G273" s="311"/>
      <c r="H273" s="311"/>
      <c r="I273" s="191"/>
      <c r="J273" s="191"/>
      <c r="K273" s="191"/>
      <c r="L273" s="191"/>
      <c r="M273" s="191"/>
      <c r="N273" s="191"/>
      <c r="O273" s="191"/>
      <c r="P273" s="191"/>
      <c r="Q273" s="191"/>
      <c r="R273" s="191"/>
      <c r="S273" s="191"/>
      <c r="T273" s="191"/>
      <c r="U273" s="191"/>
      <c r="V273" s="191"/>
      <c r="W273" s="191"/>
    </row>
    <row r="274" spans="3:23">
      <c r="C274" s="180"/>
      <c r="D274" s="180"/>
      <c r="E274" s="312"/>
      <c r="F274" s="312"/>
      <c r="G274" s="311"/>
      <c r="H274" s="311"/>
      <c r="I274" s="191"/>
      <c r="J274" s="191"/>
      <c r="K274" s="191"/>
      <c r="L274" s="191"/>
      <c r="M274" s="191"/>
      <c r="N274" s="191"/>
      <c r="O274" s="191"/>
      <c r="P274" s="191"/>
      <c r="Q274" s="191"/>
      <c r="R274" s="191"/>
      <c r="S274" s="191"/>
      <c r="T274" s="191"/>
      <c r="U274" s="191"/>
      <c r="V274" s="191"/>
      <c r="W274" s="191"/>
    </row>
    <row r="275" spans="3:23">
      <c r="C275" s="180"/>
      <c r="D275" s="180"/>
      <c r="E275" s="312"/>
      <c r="F275" s="312"/>
      <c r="G275" s="311"/>
      <c r="H275" s="311"/>
      <c r="I275" s="191"/>
      <c r="J275" s="191"/>
      <c r="K275" s="191"/>
      <c r="L275" s="191"/>
      <c r="M275" s="191"/>
      <c r="N275" s="191"/>
      <c r="O275" s="191"/>
      <c r="P275" s="191"/>
      <c r="Q275" s="191"/>
      <c r="R275" s="191"/>
      <c r="S275" s="191"/>
      <c r="T275" s="191"/>
      <c r="U275" s="191"/>
      <c r="V275" s="191"/>
      <c r="W275" s="191"/>
    </row>
    <row r="276" spans="3:23">
      <c r="C276" s="180"/>
      <c r="D276" s="180"/>
      <c r="E276" s="312"/>
      <c r="F276" s="312"/>
      <c r="G276" s="311"/>
      <c r="H276" s="311"/>
      <c r="I276" s="191"/>
      <c r="J276" s="191"/>
      <c r="K276" s="191"/>
      <c r="L276" s="191"/>
      <c r="M276" s="191"/>
      <c r="N276" s="191"/>
      <c r="O276" s="191"/>
      <c r="P276" s="191"/>
      <c r="Q276" s="191"/>
      <c r="R276" s="191"/>
      <c r="S276" s="191"/>
      <c r="T276" s="191"/>
      <c r="U276" s="191"/>
      <c r="V276" s="191"/>
      <c r="W276" s="191"/>
    </row>
    <row r="277" spans="3:23">
      <c r="C277" s="180"/>
      <c r="D277" s="180"/>
      <c r="E277" s="312"/>
      <c r="F277" s="312"/>
      <c r="G277" s="311"/>
      <c r="H277" s="311"/>
      <c r="I277" s="191"/>
      <c r="J277" s="191"/>
      <c r="K277" s="191"/>
      <c r="L277" s="191"/>
      <c r="M277" s="191"/>
      <c r="N277" s="191"/>
      <c r="O277" s="191"/>
      <c r="P277" s="191"/>
      <c r="Q277" s="191"/>
      <c r="R277" s="191"/>
      <c r="S277" s="191"/>
      <c r="T277" s="191"/>
      <c r="U277" s="191"/>
      <c r="V277" s="191"/>
      <c r="W277" s="191"/>
    </row>
    <row r="278" spans="3:23">
      <c r="C278" s="180"/>
      <c r="D278" s="180"/>
      <c r="E278" s="312"/>
      <c r="F278" s="312"/>
      <c r="G278" s="311"/>
      <c r="H278" s="311"/>
      <c r="I278" s="191"/>
      <c r="J278" s="191"/>
      <c r="K278" s="191"/>
      <c r="L278" s="191"/>
      <c r="M278" s="191"/>
      <c r="N278" s="191"/>
      <c r="O278" s="191"/>
      <c r="P278" s="191"/>
      <c r="Q278" s="191"/>
      <c r="R278" s="191"/>
      <c r="S278" s="191"/>
      <c r="T278" s="191"/>
      <c r="U278" s="191"/>
      <c r="V278" s="191"/>
      <c r="W278" s="191"/>
    </row>
    <row r="279" spans="3:23">
      <c r="C279" s="180"/>
      <c r="D279" s="180"/>
      <c r="E279" s="312"/>
      <c r="F279" s="312"/>
      <c r="G279" s="311"/>
      <c r="H279" s="311"/>
      <c r="I279" s="191"/>
      <c r="J279" s="191"/>
      <c r="K279" s="191"/>
      <c r="L279" s="191"/>
      <c r="M279" s="191"/>
      <c r="N279" s="191"/>
      <c r="O279" s="191"/>
      <c r="P279" s="191"/>
      <c r="Q279" s="191"/>
      <c r="R279" s="191"/>
      <c r="S279" s="191"/>
      <c r="T279" s="191"/>
      <c r="U279" s="191"/>
      <c r="V279" s="191"/>
      <c r="W279" s="191"/>
    </row>
    <row r="280" spans="3:23">
      <c r="C280" s="180"/>
      <c r="D280" s="180"/>
      <c r="E280" s="312"/>
      <c r="F280" s="312"/>
      <c r="G280" s="311"/>
      <c r="H280" s="311"/>
      <c r="I280" s="191"/>
      <c r="J280" s="191"/>
      <c r="K280" s="191"/>
      <c r="L280" s="191"/>
      <c r="M280" s="191"/>
      <c r="N280" s="191"/>
      <c r="O280" s="191"/>
      <c r="P280" s="191"/>
      <c r="Q280" s="191"/>
      <c r="R280" s="191"/>
      <c r="S280" s="191"/>
      <c r="T280" s="191"/>
      <c r="U280" s="191"/>
      <c r="V280" s="191"/>
      <c r="W280" s="191"/>
    </row>
    <row r="281" spans="3:23">
      <c r="C281" s="180"/>
      <c r="D281" s="180"/>
      <c r="E281" s="312"/>
      <c r="F281" s="312"/>
      <c r="G281" s="311"/>
      <c r="H281" s="311"/>
      <c r="I281" s="191"/>
      <c r="J281" s="191"/>
      <c r="K281" s="191"/>
      <c r="L281" s="191"/>
      <c r="M281" s="191"/>
      <c r="N281" s="191"/>
      <c r="O281" s="191"/>
      <c r="P281" s="191"/>
      <c r="Q281" s="191"/>
      <c r="R281" s="191"/>
      <c r="S281" s="191"/>
      <c r="T281" s="191"/>
      <c r="U281" s="191"/>
      <c r="V281" s="191"/>
      <c r="W281" s="191"/>
    </row>
    <row r="282" spans="3:23">
      <c r="C282" s="180"/>
      <c r="D282" s="180"/>
      <c r="E282" s="312"/>
      <c r="F282" s="312"/>
      <c r="G282" s="311"/>
      <c r="H282" s="311"/>
      <c r="I282" s="191"/>
      <c r="J282" s="191"/>
      <c r="K282" s="191"/>
      <c r="L282" s="191"/>
      <c r="M282" s="191"/>
      <c r="N282" s="191"/>
      <c r="O282" s="191"/>
      <c r="P282" s="191"/>
      <c r="Q282" s="191"/>
      <c r="R282" s="191"/>
      <c r="S282" s="191"/>
      <c r="T282" s="191"/>
      <c r="U282" s="191"/>
      <c r="V282" s="191"/>
      <c r="W282" s="191"/>
    </row>
    <row r="283" spans="3:23">
      <c r="C283" s="180"/>
      <c r="D283" s="180"/>
      <c r="E283" s="312"/>
      <c r="F283" s="312"/>
      <c r="G283" s="311"/>
      <c r="H283" s="311"/>
      <c r="I283" s="191"/>
      <c r="J283" s="191"/>
      <c r="K283" s="191"/>
      <c r="L283" s="191"/>
      <c r="M283" s="191"/>
      <c r="N283" s="191"/>
      <c r="O283" s="191"/>
      <c r="P283" s="191"/>
      <c r="Q283" s="191"/>
      <c r="R283" s="191"/>
      <c r="S283" s="191"/>
      <c r="T283" s="191"/>
      <c r="U283" s="191"/>
      <c r="V283" s="191"/>
      <c r="W283" s="191"/>
    </row>
    <row r="284" spans="3:23">
      <c r="C284" s="180"/>
      <c r="D284" s="180"/>
      <c r="E284" s="312"/>
      <c r="F284" s="312"/>
      <c r="G284" s="311"/>
      <c r="H284" s="311"/>
      <c r="I284" s="191"/>
      <c r="J284" s="191"/>
      <c r="K284" s="191"/>
      <c r="L284" s="191"/>
      <c r="M284" s="191"/>
      <c r="N284" s="191"/>
      <c r="O284" s="191"/>
      <c r="P284" s="191"/>
      <c r="Q284" s="191"/>
      <c r="R284" s="191"/>
      <c r="S284" s="191"/>
      <c r="T284" s="191"/>
      <c r="U284" s="191"/>
      <c r="V284" s="191"/>
      <c r="W284" s="191"/>
    </row>
    <row r="285" spans="3:23">
      <c r="C285" s="180"/>
      <c r="D285" s="180"/>
      <c r="E285" s="312"/>
      <c r="F285" s="312"/>
      <c r="G285" s="311"/>
      <c r="H285" s="311"/>
      <c r="I285" s="191"/>
      <c r="J285" s="191"/>
      <c r="K285" s="191"/>
      <c r="L285" s="191"/>
      <c r="M285" s="191"/>
      <c r="N285" s="191"/>
      <c r="O285" s="191"/>
      <c r="P285" s="191"/>
      <c r="Q285" s="191"/>
      <c r="R285" s="191"/>
      <c r="S285" s="191"/>
      <c r="T285" s="191"/>
      <c r="U285" s="191"/>
      <c r="V285" s="191"/>
      <c r="W285" s="191"/>
    </row>
    <row r="286" spans="3:23">
      <c r="C286" s="180"/>
      <c r="D286" s="180"/>
      <c r="E286" s="312"/>
      <c r="F286" s="312"/>
      <c r="G286" s="311"/>
      <c r="H286" s="311"/>
      <c r="I286" s="191"/>
      <c r="J286" s="191"/>
      <c r="K286" s="191"/>
      <c r="L286" s="191"/>
      <c r="M286" s="191"/>
      <c r="N286" s="191"/>
      <c r="O286" s="191"/>
      <c r="P286" s="191"/>
      <c r="Q286" s="191"/>
      <c r="R286" s="191"/>
      <c r="S286" s="191"/>
      <c r="T286" s="191"/>
      <c r="U286" s="191"/>
      <c r="V286" s="191"/>
      <c r="W286" s="191"/>
    </row>
    <row r="287" spans="3:23">
      <c r="C287" s="180"/>
      <c r="D287" s="180"/>
      <c r="E287" s="312"/>
      <c r="F287" s="312"/>
      <c r="G287" s="311"/>
      <c r="H287" s="311"/>
      <c r="I287" s="191"/>
      <c r="J287" s="191"/>
      <c r="K287" s="191"/>
      <c r="L287" s="191"/>
      <c r="M287" s="191"/>
      <c r="N287" s="191"/>
      <c r="O287" s="191"/>
      <c r="P287" s="191"/>
      <c r="Q287" s="191"/>
      <c r="R287" s="191"/>
      <c r="S287" s="191"/>
      <c r="T287" s="191"/>
      <c r="U287" s="191"/>
      <c r="V287" s="191"/>
      <c r="W287" s="191"/>
    </row>
    <row r="288" spans="3:23">
      <c r="C288" s="180"/>
      <c r="D288" s="180"/>
      <c r="E288" s="312"/>
      <c r="F288" s="312"/>
      <c r="G288" s="311"/>
      <c r="H288" s="311"/>
      <c r="I288" s="191"/>
      <c r="J288" s="191"/>
      <c r="K288" s="191"/>
      <c r="L288" s="191"/>
      <c r="M288" s="191"/>
      <c r="N288" s="191"/>
      <c r="O288" s="191"/>
      <c r="P288" s="191"/>
      <c r="Q288" s="191"/>
      <c r="R288" s="191"/>
      <c r="S288" s="191"/>
      <c r="T288" s="191"/>
      <c r="U288" s="191"/>
      <c r="V288" s="191"/>
      <c r="W288" s="191"/>
    </row>
    <row r="289" spans="3:23">
      <c r="C289" s="180"/>
      <c r="D289" s="180"/>
      <c r="E289" s="312"/>
      <c r="F289" s="312"/>
      <c r="G289" s="311"/>
      <c r="H289" s="311"/>
      <c r="I289" s="191"/>
      <c r="J289" s="191"/>
      <c r="K289" s="191"/>
      <c r="L289" s="191"/>
      <c r="M289" s="191"/>
      <c r="N289" s="191"/>
      <c r="O289" s="191"/>
      <c r="P289" s="191"/>
      <c r="Q289" s="191"/>
      <c r="R289" s="191"/>
      <c r="S289" s="191"/>
      <c r="T289" s="191"/>
      <c r="U289" s="191"/>
      <c r="V289" s="191"/>
      <c r="W289" s="191"/>
    </row>
    <row r="290" spans="3:23">
      <c r="C290" s="180"/>
      <c r="D290" s="180"/>
      <c r="E290" s="312"/>
      <c r="F290" s="312"/>
      <c r="G290" s="311"/>
      <c r="H290" s="311"/>
      <c r="I290" s="191"/>
      <c r="J290" s="191"/>
      <c r="K290" s="191"/>
      <c r="L290" s="191"/>
      <c r="M290" s="191"/>
      <c r="N290" s="191"/>
      <c r="O290" s="191"/>
      <c r="P290" s="191"/>
      <c r="Q290" s="191"/>
      <c r="R290" s="191"/>
      <c r="S290" s="191"/>
      <c r="T290" s="191"/>
      <c r="U290" s="191"/>
      <c r="V290" s="191"/>
      <c r="W290" s="191"/>
    </row>
    <row r="291" spans="3:23">
      <c r="C291" s="180"/>
      <c r="D291" s="180"/>
      <c r="E291" s="312"/>
      <c r="F291" s="312"/>
      <c r="G291" s="311"/>
      <c r="H291" s="311"/>
      <c r="I291" s="191"/>
      <c r="J291" s="191"/>
      <c r="K291" s="191"/>
      <c r="L291" s="191"/>
      <c r="M291" s="191"/>
      <c r="N291" s="191"/>
      <c r="O291" s="191"/>
      <c r="P291" s="191"/>
      <c r="Q291" s="191"/>
      <c r="R291" s="191"/>
      <c r="S291" s="191"/>
      <c r="T291" s="191"/>
      <c r="U291" s="191"/>
      <c r="V291" s="191"/>
      <c r="W291" s="191"/>
    </row>
    <row r="292" spans="3:23">
      <c r="C292" s="180"/>
      <c r="D292" s="180"/>
      <c r="E292" s="312"/>
      <c r="F292" s="312"/>
      <c r="G292" s="311"/>
      <c r="H292" s="311"/>
      <c r="I292" s="191"/>
      <c r="J292" s="191"/>
      <c r="K292" s="191"/>
      <c r="L292" s="191"/>
      <c r="M292" s="191"/>
      <c r="N292" s="191"/>
      <c r="O292" s="191"/>
      <c r="P292" s="191"/>
      <c r="Q292" s="191"/>
      <c r="R292" s="191"/>
      <c r="S292" s="191"/>
      <c r="T292" s="191"/>
      <c r="U292" s="191"/>
      <c r="V292" s="191"/>
      <c r="W292" s="191"/>
    </row>
    <row r="293" spans="3:23">
      <c r="C293" s="180"/>
      <c r="D293" s="180"/>
      <c r="E293" s="312"/>
      <c r="F293" s="312"/>
      <c r="G293" s="311"/>
      <c r="H293" s="311"/>
      <c r="I293" s="191"/>
      <c r="J293" s="191"/>
      <c r="K293" s="191"/>
      <c r="L293" s="191"/>
      <c r="M293" s="191"/>
      <c r="N293" s="191"/>
      <c r="O293" s="191"/>
      <c r="P293" s="191"/>
      <c r="Q293" s="191"/>
      <c r="R293" s="191"/>
      <c r="S293" s="191"/>
      <c r="T293" s="191"/>
      <c r="U293" s="191"/>
      <c r="V293" s="191"/>
      <c r="W293" s="191"/>
    </row>
    <row r="294" spans="3:23">
      <c r="C294" s="180"/>
      <c r="D294" s="180"/>
      <c r="E294" s="312"/>
      <c r="F294" s="312"/>
      <c r="G294" s="311"/>
      <c r="H294" s="311"/>
      <c r="I294" s="191"/>
      <c r="J294" s="191"/>
      <c r="K294" s="191"/>
      <c r="L294" s="191"/>
      <c r="M294" s="191"/>
      <c r="N294" s="191"/>
      <c r="O294" s="191"/>
      <c r="P294" s="191"/>
      <c r="Q294" s="191"/>
      <c r="R294" s="191"/>
      <c r="S294" s="191"/>
      <c r="T294" s="191"/>
      <c r="U294" s="191"/>
      <c r="V294" s="191"/>
      <c r="W294" s="191"/>
    </row>
    <row r="295" spans="3:23">
      <c r="C295" s="180"/>
      <c r="D295" s="180"/>
      <c r="E295" s="312"/>
      <c r="F295" s="312"/>
      <c r="G295" s="311"/>
      <c r="H295" s="311"/>
      <c r="I295" s="191"/>
      <c r="J295" s="191"/>
      <c r="K295" s="191"/>
      <c r="L295" s="191"/>
      <c r="M295" s="191"/>
      <c r="N295" s="191"/>
      <c r="O295" s="191"/>
      <c r="P295" s="191"/>
      <c r="Q295" s="191"/>
      <c r="R295" s="191"/>
      <c r="S295" s="191"/>
      <c r="T295" s="191"/>
      <c r="U295" s="191"/>
      <c r="V295" s="191"/>
      <c r="W295" s="191"/>
    </row>
    <row r="296" spans="3:23">
      <c r="C296" s="180"/>
      <c r="D296" s="180"/>
      <c r="E296" s="312"/>
      <c r="F296" s="312"/>
      <c r="G296" s="311"/>
      <c r="H296" s="311"/>
      <c r="I296" s="191"/>
      <c r="J296" s="191"/>
      <c r="K296" s="191"/>
      <c r="L296" s="191"/>
      <c r="M296" s="191"/>
      <c r="N296" s="191"/>
      <c r="O296" s="191"/>
      <c r="P296" s="191"/>
      <c r="Q296" s="191"/>
      <c r="R296" s="191"/>
      <c r="S296" s="191"/>
      <c r="T296" s="191"/>
      <c r="U296" s="191"/>
      <c r="V296" s="191"/>
      <c r="W296" s="191"/>
    </row>
    <row r="297" spans="3:23">
      <c r="C297" s="180"/>
      <c r="D297" s="180"/>
      <c r="E297" s="312"/>
      <c r="F297" s="312"/>
      <c r="G297" s="311"/>
      <c r="H297" s="311"/>
      <c r="I297" s="191"/>
      <c r="J297" s="191"/>
      <c r="K297" s="191"/>
      <c r="L297" s="191"/>
      <c r="M297" s="191"/>
      <c r="N297" s="191"/>
      <c r="O297" s="191"/>
      <c r="P297" s="191"/>
      <c r="Q297" s="191"/>
      <c r="R297" s="191"/>
      <c r="S297" s="191"/>
      <c r="T297" s="191"/>
      <c r="U297" s="191"/>
      <c r="V297" s="191"/>
      <c r="W297" s="191"/>
    </row>
    <row r="298" spans="3:23">
      <c r="C298" s="180"/>
      <c r="D298" s="180"/>
      <c r="E298" s="312"/>
      <c r="F298" s="312"/>
      <c r="G298" s="311"/>
      <c r="H298" s="311"/>
      <c r="I298" s="191"/>
      <c r="J298" s="191"/>
      <c r="K298" s="191"/>
      <c r="L298" s="191"/>
      <c r="M298" s="191"/>
      <c r="N298" s="191"/>
      <c r="O298" s="191"/>
      <c r="P298" s="191"/>
      <c r="Q298" s="191"/>
      <c r="R298" s="191"/>
      <c r="S298" s="191"/>
      <c r="T298" s="191"/>
      <c r="U298" s="191"/>
      <c r="V298" s="191"/>
      <c r="W298" s="191"/>
    </row>
    <row r="299" spans="3:23">
      <c r="C299" s="180"/>
      <c r="D299" s="180"/>
      <c r="E299" s="312"/>
      <c r="F299" s="312"/>
      <c r="G299" s="311"/>
      <c r="H299" s="311"/>
      <c r="I299" s="191"/>
      <c r="J299" s="191"/>
      <c r="K299" s="191"/>
      <c r="L299" s="191"/>
      <c r="M299" s="191"/>
      <c r="N299" s="191"/>
      <c r="O299" s="191"/>
      <c r="P299" s="191"/>
      <c r="Q299" s="191"/>
      <c r="R299" s="191"/>
      <c r="S299" s="191"/>
      <c r="T299" s="191"/>
      <c r="U299" s="191"/>
      <c r="V299" s="191"/>
      <c r="W299" s="191"/>
    </row>
    <row r="300" spans="3:23">
      <c r="C300" s="180"/>
      <c r="D300" s="180"/>
      <c r="E300" s="312"/>
      <c r="F300" s="312"/>
      <c r="G300" s="311"/>
      <c r="H300" s="311"/>
      <c r="I300" s="191"/>
      <c r="J300" s="191"/>
      <c r="K300" s="191"/>
      <c r="L300" s="191"/>
      <c r="M300" s="191"/>
      <c r="N300" s="191"/>
      <c r="O300" s="191"/>
      <c r="P300" s="191"/>
      <c r="Q300" s="191"/>
      <c r="R300" s="191"/>
      <c r="S300" s="191"/>
      <c r="T300" s="191"/>
      <c r="U300" s="191"/>
      <c r="V300" s="191"/>
      <c r="W300" s="191"/>
    </row>
    <row r="301" spans="3:23">
      <c r="C301" s="180"/>
      <c r="D301" s="180"/>
      <c r="E301" s="312"/>
      <c r="F301" s="312"/>
      <c r="G301" s="311"/>
      <c r="H301" s="311"/>
      <c r="I301" s="191"/>
      <c r="J301" s="191"/>
      <c r="K301" s="191"/>
      <c r="L301" s="191"/>
      <c r="M301" s="191"/>
      <c r="N301" s="191"/>
      <c r="O301" s="191"/>
      <c r="P301" s="191"/>
      <c r="Q301" s="191"/>
      <c r="R301" s="191"/>
      <c r="S301" s="191"/>
      <c r="T301" s="191"/>
      <c r="U301" s="191"/>
      <c r="V301" s="191"/>
      <c r="W301" s="191"/>
    </row>
    <row r="302" spans="3:23">
      <c r="C302" s="180"/>
      <c r="D302" s="180"/>
      <c r="E302" s="312"/>
      <c r="F302" s="312"/>
      <c r="G302" s="311"/>
      <c r="H302" s="311"/>
      <c r="I302" s="191"/>
      <c r="J302" s="191"/>
      <c r="K302" s="191"/>
      <c r="L302" s="191"/>
      <c r="M302" s="191"/>
      <c r="N302" s="191"/>
      <c r="O302" s="191"/>
      <c r="P302" s="191"/>
      <c r="Q302" s="191"/>
      <c r="R302" s="191"/>
      <c r="S302" s="191"/>
      <c r="T302" s="191"/>
      <c r="U302" s="191"/>
      <c r="V302" s="191"/>
      <c r="W302" s="191"/>
    </row>
    <row r="303" spans="3:23">
      <c r="C303" s="180"/>
      <c r="D303" s="180"/>
      <c r="E303" s="312"/>
      <c r="F303" s="312"/>
      <c r="G303" s="311"/>
      <c r="H303" s="311"/>
      <c r="I303" s="191"/>
      <c r="J303" s="191"/>
      <c r="K303" s="191"/>
      <c r="L303" s="191"/>
      <c r="M303" s="191"/>
      <c r="N303" s="191"/>
      <c r="O303" s="191"/>
      <c r="P303" s="191"/>
      <c r="Q303" s="191"/>
      <c r="R303" s="191"/>
      <c r="S303" s="191"/>
      <c r="T303" s="191"/>
      <c r="U303" s="191"/>
      <c r="V303" s="191"/>
      <c r="W303" s="191"/>
    </row>
    <row r="304" spans="3:23">
      <c r="C304" s="180"/>
      <c r="D304" s="180"/>
      <c r="E304" s="312"/>
      <c r="F304" s="312"/>
      <c r="G304" s="311"/>
      <c r="H304" s="311"/>
      <c r="I304" s="191"/>
      <c r="J304" s="191"/>
      <c r="K304" s="191"/>
      <c r="L304" s="191"/>
      <c r="M304" s="191"/>
      <c r="N304" s="191"/>
      <c r="O304" s="191"/>
      <c r="P304" s="191"/>
      <c r="Q304" s="191"/>
      <c r="R304" s="191"/>
      <c r="S304" s="191"/>
      <c r="T304" s="191"/>
      <c r="U304" s="191"/>
      <c r="V304" s="191"/>
      <c r="W304" s="191"/>
    </row>
    <row r="305" spans="3:23">
      <c r="C305" s="180"/>
      <c r="D305" s="180"/>
      <c r="E305" s="312"/>
      <c r="F305" s="312"/>
      <c r="G305" s="311"/>
      <c r="H305" s="311"/>
      <c r="I305" s="191"/>
      <c r="J305" s="191"/>
      <c r="K305" s="191"/>
      <c r="L305" s="191"/>
      <c r="M305" s="191"/>
      <c r="N305" s="191"/>
      <c r="O305" s="191"/>
      <c r="P305" s="191"/>
      <c r="Q305" s="191"/>
      <c r="R305" s="191"/>
      <c r="S305" s="191"/>
      <c r="T305" s="191"/>
      <c r="U305" s="191"/>
      <c r="V305" s="191"/>
      <c r="W305" s="191"/>
    </row>
    <row r="306" spans="3:23">
      <c r="C306" s="180"/>
      <c r="D306" s="180"/>
      <c r="E306" s="312"/>
      <c r="F306" s="312"/>
      <c r="G306" s="311"/>
      <c r="H306" s="311"/>
      <c r="I306" s="191"/>
      <c r="J306" s="191"/>
      <c r="K306" s="191"/>
      <c r="L306" s="191"/>
      <c r="M306" s="191"/>
      <c r="N306" s="191"/>
      <c r="O306" s="191"/>
      <c r="P306" s="191"/>
      <c r="Q306" s="191"/>
      <c r="R306" s="191"/>
      <c r="S306" s="191"/>
      <c r="T306" s="191"/>
      <c r="U306" s="191"/>
      <c r="V306" s="191"/>
      <c r="W306" s="191"/>
    </row>
    <row r="307" spans="3:23">
      <c r="C307" s="180"/>
      <c r="D307" s="180"/>
      <c r="E307" s="312"/>
      <c r="F307" s="312"/>
      <c r="G307" s="311"/>
      <c r="H307" s="311"/>
      <c r="I307" s="191"/>
      <c r="J307" s="191"/>
      <c r="K307" s="191"/>
      <c r="L307" s="191"/>
      <c r="M307" s="191"/>
      <c r="N307" s="191"/>
      <c r="O307" s="191"/>
      <c r="P307" s="191"/>
      <c r="Q307" s="191"/>
      <c r="R307" s="191"/>
      <c r="S307" s="191"/>
      <c r="T307" s="191"/>
      <c r="U307" s="191"/>
      <c r="V307" s="191"/>
      <c r="W307" s="191"/>
    </row>
    <row r="308" spans="3:23">
      <c r="C308" s="180"/>
      <c r="D308" s="180"/>
      <c r="E308" s="312"/>
      <c r="F308" s="312"/>
      <c r="G308" s="311"/>
      <c r="H308" s="311"/>
      <c r="I308" s="191"/>
      <c r="J308" s="191"/>
      <c r="K308" s="191"/>
      <c r="L308" s="191"/>
      <c r="M308" s="191"/>
      <c r="N308" s="191"/>
      <c r="O308" s="191"/>
      <c r="P308" s="191"/>
      <c r="Q308" s="191"/>
      <c r="R308" s="191"/>
      <c r="S308" s="191"/>
      <c r="T308" s="191"/>
      <c r="U308" s="191"/>
      <c r="V308" s="191"/>
      <c r="W308" s="191"/>
    </row>
    <row r="309" spans="3:23">
      <c r="C309" s="180"/>
      <c r="D309" s="180"/>
      <c r="E309" s="312"/>
      <c r="F309" s="312"/>
      <c r="G309" s="311"/>
      <c r="H309" s="311"/>
      <c r="I309" s="191"/>
      <c r="J309" s="191"/>
      <c r="K309" s="191"/>
      <c r="L309" s="191"/>
      <c r="M309" s="191"/>
      <c r="N309" s="191"/>
      <c r="O309" s="191"/>
      <c r="P309" s="191"/>
      <c r="Q309" s="191"/>
      <c r="R309" s="191"/>
      <c r="S309" s="191"/>
      <c r="T309" s="191"/>
      <c r="U309" s="191"/>
      <c r="V309" s="191"/>
      <c r="W309" s="191"/>
    </row>
    <row r="310" spans="3:23">
      <c r="C310" s="180"/>
      <c r="D310" s="180"/>
      <c r="E310" s="312"/>
      <c r="F310" s="312"/>
      <c r="G310" s="311"/>
      <c r="H310" s="311"/>
      <c r="I310" s="191"/>
      <c r="J310" s="191"/>
      <c r="K310" s="191"/>
      <c r="L310" s="191"/>
      <c r="M310" s="191"/>
      <c r="N310" s="191"/>
      <c r="O310" s="191"/>
      <c r="P310" s="191"/>
      <c r="Q310" s="191"/>
      <c r="R310" s="191"/>
      <c r="S310" s="191"/>
      <c r="T310" s="191"/>
      <c r="U310" s="191"/>
      <c r="V310" s="191"/>
      <c r="W310" s="191"/>
    </row>
    <row r="311" spans="3:23">
      <c r="C311" s="180"/>
      <c r="D311" s="180"/>
      <c r="E311" s="312"/>
      <c r="F311" s="312"/>
      <c r="G311" s="311"/>
      <c r="H311" s="311"/>
      <c r="I311" s="191"/>
      <c r="J311" s="191"/>
      <c r="K311" s="191"/>
      <c r="L311" s="191"/>
      <c r="M311" s="191"/>
      <c r="N311" s="191"/>
      <c r="O311" s="191"/>
      <c r="P311" s="191"/>
      <c r="Q311" s="191"/>
      <c r="R311" s="191"/>
      <c r="S311" s="191"/>
      <c r="T311" s="191"/>
      <c r="U311" s="191"/>
      <c r="V311" s="191"/>
      <c r="W311" s="191"/>
    </row>
    <row r="312" spans="3:23">
      <c r="C312" s="180"/>
      <c r="D312" s="180"/>
      <c r="E312" s="312"/>
      <c r="F312" s="312"/>
      <c r="G312" s="311"/>
      <c r="H312" s="311"/>
      <c r="I312" s="191"/>
      <c r="J312" s="191"/>
      <c r="K312" s="191"/>
      <c r="L312" s="191"/>
      <c r="M312" s="191"/>
      <c r="N312" s="191"/>
      <c r="O312" s="191"/>
      <c r="P312" s="191"/>
      <c r="Q312" s="191"/>
      <c r="R312" s="191"/>
      <c r="S312" s="191"/>
      <c r="T312" s="191"/>
      <c r="U312" s="191"/>
      <c r="V312" s="191"/>
      <c r="W312" s="191"/>
    </row>
    <row r="313" spans="3:23">
      <c r="C313" s="180"/>
      <c r="D313" s="180"/>
      <c r="E313" s="312"/>
      <c r="F313" s="312"/>
      <c r="G313" s="311"/>
      <c r="H313" s="311"/>
      <c r="I313" s="191"/>
      <c r="J313" s="191"/>
      <c r="K313" s="191"/>
      <c r="L313" s="191"/>
      <c r="M313" s="191"/>
      <c r="N313" s="191"/>
      <c r="O313" s="191"/>
      <c r="P313" s="191"/>
      <c r="Q313" s="191"/>
      <c r="R313" s="191"/>
      <c r="S313" s="191"/>
      <c r="T313" s="191"/>
      <c r="U313" s="191"/>
      <c r="V313" s="191"/>
      <c r="W313" s="191"/>
    </row>
  </sheetData>
  <mergeCells count="1">
    <mergeCell ref="C4:J4"/>
  </mergeCells>
  <dataValidations count="2">
    <dataValidation type="list" allowBlank="1" showInputMessage="1" showErrorMessage="1" sqref="C43:C44">
      <formula1>"OUI,NON"</formula1>
    </dataValidation>
    <dataValidation type="list" allowBlank="1" showInputMessage="1" showErrorMessage="1" sqref="D8:D11 D38:D41 D13:D18 D20:D23 D25:D32 D34:D36 D43:D44">
      <formula1>"Ja,Neen"</formula1>
    </dataValidation>
  </dataValidations>
  <hyperlinks>
    <hyperlink ref="I8" r:id="rId1"/>
    <hyperlink ref="H9" r:id="rId2"/>
    <hyperlink ref="H8" r:id="rId3"/>
    <hyperlink ref="J8" r:id="rId4"/>
    <hyperlink ref="H10" r:id="rId5"/>
    <hyperlink ref="H11" r:id="rId6"/>
    <hyperlink ref="H14" r:id="rId7"/>
    <hyperlink ref="H13" r:id="rId8"/>
    <hyperlink ref="H20" r:id="rId9"/>
    <hyperlink ref="I20" r:id="rId10"/>
    <hyperlink ref="I21" r:id="rId11"/>
    <hyperlink ref="H21" r:id="rId12"/>
    <hyperlink ref="J21" r:id="rId13"/>
    <hyperlink ref="I23" r:id="rId14"/>
    <hyperlink ref="H23" r:id="rId15"/>
    <hyperlink ref="K23" r:id="rId16"/>
    <hyperlink ref="J23" r:id="rId17"/>
  </hyperlinks>
  <printOptions headings="1" gridLines="1"/>
  <pageMargins left="0.78740157480314965" right="0.78740157480314965" top="0.98425196850393704" bottom="0.98425196850393704" header="0.51181102362204722" footer="0.51181102362204722"/>
  <pageSetup paperSize="9" scale="65" fitToHeight="0" orientation="landscape" r:id="rId18"/>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3" enableFormatConditionsCalculation="0"/>
  <dimension ref="A1:N261"/>
  <sheetViews>
    <sheetView tabSelected="1" topLeftCell="F1" zoomScale="75" zoomScaleNormal="75" workbookViewId="0">
      <selection activeCell="G1" sqref="G1:I1048576"/>
    </sheetView>
  </sheetViews>
  <sheetFormatPr defaultColWidth="11.42578125" defaultRowHeight="12.75"/>
  <cols>
    <col min="1" max="1" width="10.42578125" style="1" customWidth="1"/>
    <col min="2" max="2" width="11.42578125" style="1"/>
    <col min="3" max="3" width="17.140625" style="1" customWidth="1"/>
    <col min="4" max="4" width="37.42578125" style="1" customWidth="1"/>
    <col min="5" max="5" width="49" style="1" customWidth="1"/>
    <col min="6" max="6" width="46.28515625" style="1" customWidth="1"/>
    <col min="7" max="9" width="46.28515625" style="1" hidden="1" customWidth="1"/>
    <col min="10" max="10" width="46.28515625" style="1" customWidth="1"/>
    <col min="11" max="13" width="11.42578125" style="1"/>
    <col min="14" max="14" width="24.42578125" style="1" bestFit="1" customWidth="1"/>
    <col min="15" max="15" width="11.42578125" style="1"/>
    <col min="16" max="16" width="89" style="1" bestFit="1" customWidth="1"/>
    <col min="17" max="16384" width="11.42578125" style="1"/>
  </cols>
  <sheetData>
    <row r="1" spans="1:10" ht="13.5" thickBot="1">
      <c r="A1" s="938"/>
      <c r="B1" s="938"/>
      <c r="C1" s="938"/>
      <c r="D1" s="938"/>
      <c r="E1" s="938"/>
      <c r="F1" s="938"/>
      <c r="G1" s="938"/>
      <c r="H1" s="938"/>
      <c r="I1" s="938"/>
      <c r="J1" s="938"/>
    </row>
    <row r="2" spans="1:10" ht="15" customHeight="1">
      <c r="A2" s="938"/>
      <c r="B2" s="1543" t="s">
        <v>1002</v>
      </c>
      <c r="C2" s="1544"/>
      <c r="D2" s="1544"/>
      <c r="E2" s="1544"/>
      <c r="F2" s="1545"/>
      <c r="J2" s="938"/>
    </row>
    <row r="3" spans="1:10">
      <c r="A3" s="938"/>
      <c r="B3" s="1538" t="s">
        <v>1720</v>
      </c>
      <c r="C3" s="1539"/>
      <c r="D3" s="1539"/>
      <c r="E3" s="1539"/>
      <c r="F3" s="962" t="str">
        <f>'2-Algemene gegevens'!C5&amp;" - "&amp;'2-Algemene gegevens'!C7</f>
        <v xml:space="preserve"> - </v>
      </c>
      <c r="J3" s="938"/>
    </row>
    <row r="4" spans="1:10">
      <c r="A4" s="938"/>
      <c r="B4" s="1538" t="s">
        <v>1003</v>
      </c>
      <c r="C4" s="1539"/>
      <c r="D4" s="1539"/>
      <c r="E4" s="1539"/>
      <c r="F4" s="963"/>
      <c r="J4" s="938"/>
    </row>
    <row r="5" spans="1:10">
      <c r="A5" s="938"/>
      <c r="B5" s="1538" t="s">
        <v>1721</v>
      </c>
      <c r="C5" s="1539"/>
      <c r="D5" s="1539"/>
      <c r="E5" s="1539"/>
      <c r="F5" s="964"/>
      <c r="J5" s="938"/>
    </row>
    <row r="6" spans="1:10">
      <c r="A6" s="938"/>
      <c r="B6" s="1538" t="s">
        <v>1004</v>
      </c>
      <c r="C6" s="1539"/>
      <c r="D6" s="1539"/>
      <c r="E6" s="1539"/>
      <c r="F6" s="963"/>
      <c r="J6" s="938"/>
    </row>
    <row r="7" spans="1:10">
      <c r="A7" s="938"/>
      <c r="B7" s="1538" t="s">
        <v>1082</v>
      </c>
      <c r="C7" s="1539"/>
      <c r="D7" s="1539"/>
      <c r="E7" s="1539"/>
      <c r="F7" s="965"/>
      <c r="J7" s="938"/>
    </row>
    <row r="8" spans="1:10">
      <c r="A8" s="938"/>
      <c r="B8" s="1538" t="s">
        <v>1005</v>
      </c>
      <c r="C8" s="1539"/>
      <c r="D8" s="1539"/>
      <c r="E8" s="1539"/>
      <c r="F8" s="966"/>
      <c r="J8" s="938"/>
    </row>
    <row r="9" spans="1:10">
      <c r="A9" s="938"/>
      <c r="B9" s="1538" t="s">
        <v>1006</v>
      </c>
      <c r="C9" s="1539"/>
      <c r="D9" s="1539"/>
      <c r="E9" s="1539"/>
      <c r="F9" s="966">
        <f>'2-Algemene gegevens'!F15</f>
        <v>0</v>
      </c>
      <c r="J9" s="938"/>
    </row>
    <row r="10" spans="1:10" ht="13.5" thickBot="1">
      <c r="A10" s="938"/>
      <c r="B10" s="1557" t="s">
        <v>1007</v>
      </c>
      <c r="C10" s="1558"/>
      <c r="D10" s="1558"/>
      <c r="E10" s="1558"/>
      <c r="F10" s="967">
        <f>F7-F8-F9</f>
        <v>0</v>
      </c>
      <c r="J10" s="938"/>
    </row>
    <row r="11" spans="1:10">
      <c r="A11" s="938"/>
      <c r="B11" s="938"/>
      <c r="C11" s="938"/>
      <c r="D11" s="938"/>
      <c r="E11" s="938"/>
      <c r="F11" s="938"/>
      <c r="G11" s="938"/>
      <c r="H11" s="938"/>
      <c r="I11" s="938"/>
      <c r="J11" s="938"/>
    </row>
    <row r="12" spans="1:10">
      <c r="A12" s="938"/>
      <c r="B12" s="938"/>
      <c r="C12" s="938"/>
      <c r="D12" s="938"/>
      <c r="E12" s="938"/>
      <c r="F12" s="938"/>
      <c r="G12" s="938"/>
      <c r="H12" s="938"/>
      <c r="I12" s="938"/>
      <c r="J12" s="938"/>
    </row>
    <row r="13" spans="1:10">
      <c r="A13" s="938"/>
      <c r="B13" s="938"/>
      <c r="C13" s="938"/>
      <c r="D13" s="938"/>
      <c r="E13" s="938"/>
      <c r="F13" s="938"/>
      <c r="G13" s="938"/>
      <c r="H13" s="938"/>
      <c r="I13" s="938"/>
      <c r="J13" s="938"/>
    </row>
    <row r="14" spans="1:10" ht="13.5" thickBot="1">
      <c r="A14" s="938"/>
      <c r="B14" s="938"/>
      <c r="C14" s="938"/>
      <c r="D14" s="938"/>
      <c r="E14" s="938"/>
      <c r="F14" s="938"/>
      <c r="G14" s="939"/>
      <c r="H14" s="939"/>
      <c r="I14" s="939"/>
      <c r="J14" s="938"/>
    </row>
    <row r="15" spans="1:10" ht="27.75" customHeight="1" thickBot="1">
      <c r="A15" s="938"/>
      <c r="B15" s="1552" t="s">
        <v>1008</v>
      </c>
      <c r="C15" s="1567"/>
      <c r="D15" s="1568"/>
      <c r="E15" s="1569" t="s">
        <v>1012</v>
      </c>
      <c r="F15" s="1571" t="s">
        <v>1013</v>
      </c>
      <c r="G15" s="1559" t="s">
        <v>1860</v>
      </c>
      <c r="H15" s="1560"/>
      <c r="I15" s="1560"/>
      <c r="J15" s="938"/>
    </row>
    <row r="16" spans="1:10" ht="29.25" customHeight="1" thickBot="1">
      <c r="A16" s="938"/>
      <c r="B16" s="13" t="s">
        <v>1009</v>
      </c>
      <c r="C16" s="146" t="s">
        <v>1010</v>
      </c>
      <c r="D16" s="145" t="s">
        <v>1011</v>
      </c>
      <c r="E16" s="1570"/>
      <c r="F16" s="1572"/>
      <c r="G16" s="144" t="s">
        <v>1861</v>
      </c>
      <c r="H16" s="143" t="s">
        <v>1862</v>
      </c>
      <c r="I16" s="67"/>
      <c r="J16" s="938"/>
    </row>
    <row r="17" spans="1:10" ht="14.25" customHeight="1">
      <c r="A17" s="938"/>
      <c r="B17" s="970"/>
      <c r="C17" s="971"/>
      <c r="D17" s="972"/>
      <c r="E17" s="972"/>
      <c r="F17" s="973"/>
      <c r="G17" s="142"/>
      <c r="H17" s="67"/>
      <c r="I17" s="67"/>
      <c r="J17" s="938"/>
    </row>
    <row r="18" spans="1:10" ht="24.95" customHeight="1">
      <c r="A18" s="938"/>
      <c r="B18" s="1555" t="s">
        <v>1014</v>
      </c>
      <c r="C18" s="1556"/>
      <c r="D18" s="1556"/>
      <c r="E18" s="1556"/>
      <c r="F18" s="973"/>
      <c r="G18" s="142"/>
      <c r="H18" s="67"/>
      <c r="I18" s="67"/>
      <c r="J18" s="938"/>
    </row>
    <row r="19" spans="1:10" ht="13.5" thickBot="1">
      <c r="A19" s="938"/>
      <c r="B19" s="946"/>
      <c r="C19" s="947"/>
      <c r="D19" s="947"/>
      <c r="E19" s="947"/>
      <c r="F19" s="948"/>
      <c r="G19" s="68"/>
      <c r="H19" s="67"/>
      <c r="I19" s="67"/>
      <c r="J19" s="938"/>
    </row>
    <row r="20" spans="1:10" ht="19.5" customHeight="1" thickBot="1">
      <c r="A20" s="938"/>
      <c r="B20" s="1552" t="s">
        <v>504</v>
      </c>
      <c r="C20" s="1573" t="s">
        <v>1018</v>
      </c>
      <c r="D20" s="140" t="s">
        <v>19</v>
      </c>
      <c r="E20" s="139" t="s">
        <v>1015</v>
      </c>
      <c r="F20" s="968" t="s">
        <v>1079</v>
      </c>
      <c r="G20" s="141">
        <f>VLOOKUP(F20,'6-Tool biodiversiteit'!$D$108:$E$110,2)</f>
        <v>-5</v>
      </c>
      <c r="H20" s="92"/>
      <c r="I20" s="67"/>
      <c r="J20" s="938"/>
    </row>
    <row r="21" spans="1:10" ht="19.5" customHeight="1" thickBot="1">
      <c r="A21" s="938"/>
      <c r="B21" s="1553"/>
      <c r="C21" s="1574"/>
      <c r="D21" s="140" t="s">
        <v>1016</v>
      </c>
      <c r="E21" s="139" t="s">
        <v>1015</v>
      </c>
      <c r="F21" s="969" t="s">
        <v>1079</v>
      </c>
      <c r="G21" s="138">
        <f>VLOOKUP(F21,'6-Tool biodiversiteit'!$D$108:$E$110,2)</f>
        <v>-5</v>
      </c>
      <c r="H21" s="92"/>
      <c r="I21" s="67"/>
      <c r="J21" s="938"/>
    </row>
    <row r="22" spans="1:10" ht="19.5" customHeight="1" thickBot="1">
      <c r="A22" s="938"/>
      <c r="B22" s="1553"/>
      <c r="C22" s="1574"/>
      <c r="D22" s="140" t="s">
        <v>1017</v>
      </c>
      <c r="E22" s="139" t="s">
        <v>1015</v>
      </c>
      <c r="F22" s="969" t="s">
        <v>1079</v>
      </c>
      <c r="G22" s="138">
        <f>VLOOKUP(F22,'6-Tool biodiversiteit'!$D$108:$E$110,2)</f>
        <v>-5</v>
      </c>
      <c r="H22" s="92"/>
      <c r="I22" s="67"/>
      <c r="J22" s="938"/>
    </row>
    <row r="23" spans="1:10" ht="24.75" customHeight="1" thickBot="1">
      <c r="A23" s="938"/>
      <c r="B23" s="1553"/>
      <c r="C23" s="1574"/>
      <c r="D23" s="1144" t="s">
        <v>1722</v>
      </c>
      <c r="E23" s="139" t="s">
        <v>1015</v>
      </c>
      <c r="F23" s="969" t="s">
        <v>1079</v>
      </c>
      <c r="G23" s="137">
        <f>VLOOKUP(F23,'6-Tool biodiversiteit'!$D$108:$E$110,2)</f>
        <v>-5</v>
      </c>
      <c r="H23" s="92"/>
      <c r="I23" s="67"/>
      <c r="J23" s="938"/>
    </row>
    <row r="24" spans="1:10" ht="13.5" thickBot="1">
      <c r="A24" s="938"/>
      <c r="B24" s="1553"/>
      <c r="C24" s="1574"/>
      <c r="D24" s="131"/>
      <c r="E24" s="72"/>
      <c r="F24" s="71"/>
      <c r="G24" s="92"/>
      <c r="H24" s="92"/>
      <c r="I24" s="67"/>
      <c r="J24" s="938"/>
    </row>
    <row r="25" spans="1:10" ht="19.5" customHeight="1" thickBot="1">
      <c r="A25" s="938"/>
      <c r="B25" s="1554"/>
      <c r="C25" s="1575"/>
      <c r="D25" s="974" t="s">
        <v>1042</v>
      </c>
      <c r="E25" s="975"/>
      <c r="F25" s="976" t="str">
        <f>VLOOKUP(G25,'6-Tool biodiversiteit'!A165:C167,3)</f>
        <v>Advies DNF: keuze van de site in strijd met de wetgeving</v>
      </c>
      <c r="G25" s="133">
        <f>G20+G21+G22+G23</f>
        <v>-20</v>
      </c>
      <c r="H25" s="132"/>
      <c r="I25" s="67"/>
      <c r="J25" s="938"/>
    </row>
    <row r="26" spans="1:10" ht="34.5" customHeight="1" thickBot="1">
      <c r="A26" s="938"/>
      <c r="B26" s="946"/>
      <c r="C26" s="947"/>
      <c r="D26" s="947"/>
      <c r="E26" s="947"/>
      <c r="F26" s="977" t="str">
        <f>IF(G25&gt;0,"Avis du DNF : niveau d'ambition 2 exigé", " ")</f>
        <v xml:space="preserve"> </v>
      </c>
      <c r="G26" s="67"/>
      <c r="H26" s="67"/>
      <c r="I26" s="67"/>
      <c r="J26" s="938"/>
    </row>
    <row r="27" spans="1:10" ht="19.5" customHeight="1" thickBot="1">
      <c r="A27" s="938"/>
      <c r="B27" s="1552" t="s">
        <v>503</v>
      </c>
      <c r="C27" s="1573" t="s">
        <v>1019</v>
      </c>
      <c r="D27" s="136" t="s">
        <v>1020</v>
      </c>
      <c r="E27" s="139" t="s">
        <v>1015</v>
      </c>
      <c r="F27" s="969" t="s">
        <v>1079</v>
      </c>
      <c r="G27" s="135">
        <f>VLOOKUP(F27,'6-Tool biodiversiteit'!D150:E151,2)</f>
        <v>0</v>
      </c>
      <c r="H27" s="92"/>
      <c r="I27" s="67"/>
      <c r="J27" s="938"/>
    </row>
    <row r="28" spans="1:10" ht="13.5" customHeight="1" thickBot="1">
      <c r="A28" s="938"/>
      <c r="B28" s="1553"/>
      <c r="C28" s="1574"/>
      <c r="D28" s="134"/>
      <c r="E28" s="111"/>
      <c r="F28" s="71"/>
      <c r="G28" s="92"/>
      <c r="H28" s="92"/>
      <c r="I28" s="67"/>
      <c r="J28" s="938"/>
    </row>
    <row r="29" spans="1:10" ht="19.5" customHeight="1" thickBot="1">
      <c r="A29" s="938"/>
      <c r="B29" s="1554"/>
      <c r="C29" s="1575"/>
      <c r="D29" s="974" t="s">
        <v>1041</v>
      </c>
      <c r="E29" s="975"/>
      <c r="F29" s="976">
        <f>IF(G29&lt;0,2,0)</f>
        <v>0</v>
      </c>
      <c r="G29" s="133">
        <f>G27</f>
        <v>0</v>
      </c>
      <c r="H29" s="132"/>
      <c r="I29" s="67"/>
      <c r="J29" s="938"/>
    </row>
    <row r="30" spans="1:10" ht="19.5" customHeight="1">
      <c r="A30" s="938"/>
      <c r="B30" s="951"/>
      <c r="C30" s="978"/>
      <c r="D30" s="979"/>
      <c r="E30" s="980"/>
      <c r="F30" s="977"/>
      <c r="G30" s="132"/>
      <c r="H30" s="132"/>
      <c r="I30" s="67"/>
      <c r="J30" s="938"/>
    </row>
    <row r="31" spans="1:10" ht="24.95" customHeight="1" thickBot="1">
      <c r="A31" s="938"/>
      <c r="B31" s="1555" t="s">
        <v>1021</v>
      </c>
      <c r="C31" s="1556"/>
      <c r="D31" s="1556"/>
      <c r="E31" s="1556"/>
      <c r="F31" s="977"/>
      <c r="G31" s="132"/>
      <c r="H31" s="132"/>
      <c r="I31" s="67"/>
      <c r="J31" s="938"/>
    </row>
    <row r="32" spans="1:10" ht="15" customHeight="1" thickBot="1">
      <c r="A32" s="938"/>
      <c r="B32" s="970"/>
      <c r="C32" s="947"/>
      <c r="D32" s="971"/>
      <c r="E32" s="947"/>
      <c r="F32" s="948"/>
      <c r="G32" s="130" t="s">
        <v>1863</v>
      </c>
      <c r="H32" s="130" t="s">
        <v>1864</v>
      </c>
      <c r="I32" s="129" t="s">
        <v>1865</v>
      </c>
      <c r="J32" s="938"/>
    </row>
    <row r="33" spans="1:10" ht="19.5" customHeight="1">
      <c r="A33" s="938"/>
      <c r="B33" s="1552" t="s">
        <v>502</v>
      </c>
      <c r="C33" s="1567" t="s">
        <v>1043</v>
      </c>
      <c r="D33" s="1576" t="s">
        <v>1022</v>
      </c>
      <c r="E33" s="79" t="s">
        <v>1770</v>
      </c>
      <c r="F33" s="959"/>
      <c r="G33" s="128">
        <f>F33*1</f>
        <v>0</v>
      </c>
      <c r="H33" s="127">
        <f>F33*'6-Tool biodiversiteit'!E237</f>
        <v>0</v>
      </c>
      <c r="I33" s="67"/>
      <c r="J33" s="938"/>
    </row>
    <row r="34" spans="1:10" ht="19.5" customHeight="1">
      <c r="A34" s="938"/>
      <c r="B34" s="1553"/>
      <c r="C34" s="1574"/>
      <c r="D34" s="1577"/>
      <c r="E34" s="77" t="s">
        <v>1771</v>
      </c>
      <c r="F34" s="981"/>
      <c r="G34" s="116">
        <f>F34*1</f>
        <v>0</v>
      </c>
      <c r="H34" s="115">
        <f>F34*'6-Tool biodiversiteit'!E238</f>
        <v>0</v>
      </c>
      <c r="I34" s="67"/>
      <c r="J34" s="938"/>
    </row>
    <row r="35" spans="1:10" ht="19.5" customHeight="1">
      <c r="A35" s="938"/>
      <c r="B35" s="1553"/>
      <c r="C35" s="1574"/>
      <c r="D35" s="1577"/>
      <c r="E35" s="77" t="s">
        <v>1023</v>
      </c>
      <c r="F35" s="981"/>
      <c r="G35" s="116">
        <f>F35*2</f>
        <v>0</v>
      </c>
      <c r="H35" s="115">
        <f>F35*'6-Tool biodiversiteit'!E239</f>
        <v>0</v>
      </c>
      <c r="I35" s="67"/>
      <c r="J35" s="938"/>
    </row>
    <row r="36" spans="1:10" ht="19.5" customHeight="1">
      <c r="A36" s="938"/>
      <c r="B36" s="1553"/>
      <c r="C36" s="1574"/>
      <c r="D36" s="1577"/>
      <c r="E36" s="77" t="s">
        <v>1024</v>
      </c>
      <c r="F36" s="981"/>
      <c r="G36" s="116">
        <f>F36*2</f>
        <v>0</v>
      </c>
      <c r="H36" s="115">
        <f>F36*'6-Tool biodiversiteit'!E240</f>
        <v>0</v>
      </c>
      <c r="I36" s="67"/>
      <c r="J36" s="938"/>
    </row>
    <row r="37" spans="1:10" ht="19.5" customHeight="1">
      <c r="A37" s="938"/>
      <c r="B37" s="1553"/>
      <c r="C37" s="1574"/>
      <c r="D37" s="1577"/>
      <c r="E37" s="77" t="s">
        <v>1025</v>
      </c>
      <c r="F37" s="981"/>
      <c r="G37" s="116">
        <f>F37*2</f>
        <v>0</v>
      </c>
      <c r="H37" s="115">
        <f>F37*'6-Tool biodiversiteit'!E241</f>
        <v>0</v>
      </c>
      <c r="I37" s="67"/>
      <c r="J37" s="938"/>
    </row>
    <row r="38" spans="1:10" ht="19.5" customHeight="1">
      <c r="A38" s="938"/>
      <c r="B38" s="1553"/>
      <c r="C38" s="1574"/>
      <c r="D38" s="1577"/>
      <c r="E38" s="77" t="s">
        <v>1772</v>
      </c>
      <c r="F38" s="981"/>
      <c r="G38" s="116">
        <f>F38*2</f>
        <v>0</v>
      </c>
      <c r="H38" s="115">
        <f>F38*'6-Tool biodiversiteit'!E242</f>
        <v>0</v>
      </c>
      <c r="I38" s="67"/>
      <c r="J38" s="938"/>
    </row>
    <row r="39" spans="1:10" ht="19.5" customHeight="1">
      <c r="A39" s="938"/>
      <c r="B39" s="1553"/>
      <c r="C39" s="1574"/>
      <c r="D39" s="1577"/>
      <c r="E39" s="126" t="s">
        <v>1026</v>
      </c>
      <c r="F39" s="981"/>
      <c r="G39" s="116">
        <f>F39*4</f>
        <v>0</v>
      </c>
      <c r="H39" s="115">
        <f>F39*'6-Tool biodiversiteit'!E243</f>
        <v>0</v>
      </c>
      <c r="I39" s="67"/>
      <c r="J39" s="938"/>
    </row>
    <row r="40" spans="1:10" ht="19.5" customHeight="1">
      <c r="A40" s="938"/>
      <c r="B40" s="1553"/>
      <c r="C40" s="1574"/>
      <c r="D40" s="1577"/>
      <c r="E40" s="77" t="s">
        <v>1773</v>
      </c>
      <c r="F40" s="981"/>
      <c r="G40" s="116">
        <f>F40</f>
        <v>0</v>
      </c>
      <c r="H40" s="115">
        <f>F40*'6-Tool biodiversiteit'!E244</f>
        <v>0</v>
      </c>
      <c r="I40" s="67"/>
      <c r="J40" s="938"/>
    </row>
    <row r="41" spans="1:10" ht="19.5" customHeight="1" thickBot="1">
      <c r="A41" s="938"/>
      <c r="B41" s="1553"/>
      <c r="C41" s="1574"/>
      <c r="D41" s="1577"/>
      <c r="E41" s="125" t="s">
        <v>1774</v>
      </c>
      <c r="F41" s="982"/>
      <c r="G41" s="116">
        <f>F41</f>
        <v>0</v>
      </c>
      <c r="H41" s="115">
        <f>F41*'6-Tool biodiversiteit'!E245</f>
        <v>0</v>
      </c>
      <c r="I41" s="92"/>
      <c r="J41" s="938"/>
    </row>
    <row r="42" spans="1:10" ht="19.5" customHeight="1" thickBot="1">
      <c r="A42" s="938"/>
      <c r="B42" s="1553"/>
      <c r="C42" s="1574"/>
      <c r="D42" s="1577"/>
      <c r="E42" s="125" t="s">
        <v>1775</v>
      </c>
      <c r="F42" s="982"/>
      <c r="G42" s="116">
        <f>F42</f>
        <v>0</v>
      </c>
      <c r="H42" s="115">
        <f>F42*'6-Tool biodiversiteit'!E246</f>
        <v>0</v>
      </c>
      <c r="I42" s="124">
        <f>IF(SUM(H33:H42)&gt;0,1,0)</f>
        <v>0</v>
      </c>
      <c r="J42" s="938"/>
    </row>
    <row r="43" spans="1:10" ht="19.5" customHeight="1" thickBot="1">
      <c r="A43" s="938"/>
      <c r="B43" s="1553"/>
      <c r="C43" s="1574"/>
      <c r="D43" s="1578"/>
      <c r="E43" s="75" t="s">
        <v>1776</v>
      </c>
      <c r="F43" s="983"/>
      <c r="G43" s="123">
        <f>SUM(H33:H42)*F43+0.25*SUM(H33:H42)*(1-F43)</f>
        <v>0</v>
      </c>
      <c r="H43" s="122">
        <f>IF(F43="Donnée indisponible",0.5*SUM(H33:H41),G43)</f>
        <v>0</v>
      </c>
      <c r="I43" s="67"/>
      <c r="J43" s="938"/>
    </row>
    <row r="44" spans="1:10" ht="19.5" customHeight="1" thickBot="1">
      <c r="A44" s="938"/>
      <c r="B44" s="1553"/>
      <c r="C44" s="1574"/>
      <c r="D44" s="121" t="s">
        <v>1028</v>
      </c>
      <c r="E44" s="120" t="s">
        <v>1027</v>
      </c>
      <c r="F44" s="984"/>
      <c r="G44" s="116">
        <f t="shared" ref="G44:G50" si="0">F44</f>
        <v>0</v>
      </c>
      <c r="H44" s="115">
        <f>F44*'6-Tool biodiversiteit'!E247</f>
        <v>0</v>
      </c>
      <c r="I44" s="73">
        <f>IF(H44&gt;0,1,0)</f>
        <v>0</v>
      </c>
      <c r="J44" s="938"/>
    </row>
    <row r="45" spans="1:10" ht="19.5" customHeight="1">
      <c r="A45" s="938"/>
      <c r="B45" s="1553"/>
      <c r="C45" s="1574"/>
      <c r="D45" s="1576" t="s">
        <v>1029</v>
      </c>
      <c r="E45" s="79" t="s">
        <v>1030</v>
      </c>
      <c r="F45" s="959"/>
      <c r="G45" s="116">
        <f t="shared" si="0"/>
        <v>0</v>
      </c>
      <c r="H45" s="115">
        <f>F45*'6-Tool biodiversiteit'!E248</f>
        <v>0</v>
      </c>
      <c r="I45" s="67"/>
      <c r="J45" s="938"/>
    </row>
    <row r="46" spans="1:10" ht="19.5" customHeight="1">
      <c r="A46" s="938"/>
      <c r="B46" s="1553"/>
      <c r="C46" s="1574"/>
      <c r="D46" s="1577"/>
      <c r="E46" s="119" t="s">
        <v>1031</v>
      </c>
      <c r="F46" s="985"/>
      <c r="G46" s="116">
        <f t="shared" si="0"/>
        <v>0</v>
      </c>
      <c r="H46" s="115">
        <f>F46*'6-Tool biodiversiteit'!E249</f>
        <v>0</v>
      </c>
      <c r="I46" s="67"/>
      <c r="J46" s="938"/>
    </row>
    <row r="47" spans="1:10" ht="19.5" customHeight="1" thickBot="1">
      <c r="A47" s="938"/>
      <c r="B47" s="1553"/>
      <c r="C47" s="1574"/>
      <c r="D47" s="1577"/>
      <c r="E47" s="119" t="s">
        <v>1032</v>
      </c>
      <c r="F47" s="985"/>
      <c r="G47" s="116">
        <f t="shared" si="0"/>
        <v>0</v>
      </c>
      <c r="H47" s="115">
        <f>F47*'6-Tool biodiversiteit'!E250</f>
        <v>0</v>
      </c>
      <c r="I47" s="67"/>
      <c r="J47" s="938"/>
    </row>
    <row r="48" spans="1:10" ht="19.5" customHeight="1" thickBot="1">
      <c r="A48" s="938"/>
      <c r="B48" s="1553"/>
      <c r="C48" s="1574"/>
      <c r="D48" s="1577"/>
      <c r="E48" s="118" t="s">
        <v>1033</v>
      </c>
      <c r="F48" s="982"/>
      <c r="G48" s="116">
        <f t="shared" si="0"/>
        <v>0</v>
      </c>
      <c r="H48" s="115">
        <f>F48*'6-Tool biodiversiteit'!E251</f>
        <v>0</v>
      </c>
      <c r="I48" s="73">
        <f>IF(SUM(H45:H48)&gt;0,1,0)</f>
        <v>0</v>
      </c>
      <c r="J48" s="938"/>
    </row>
    <row r="49" spans="1:10" ht="19.5" customHeight="1">
      <c r="A49" s="938"/>
      <c r="B49" s="1553"/>
      <c r="C49" s="1574"/>
      <c r="D49" s="1548" t="s">
        <v>1034</v>
      </c>
      <c r="E49" s="79" t="s">
        <v>1035</v>
      </c>
      <c r="F49" s="959"/>
      <c r="G49" s="116">
        <f t="shared" si="0"/>
        <v>0</v>
      </c>
      <c r="H49" s="115">
        <f>G49</f>
        <v>0</v>
      </c>
      <c r="I49" s="67"/>
      <c r="J49" s="938"/>
    </row>
    <row r="50" spans="1:10" ht="19.5" customHeight="1" thickBot="1">
      <c r="A50" s="938"/>
      <c r="B50" s="1553"/>
      <c r="C50" s="1574"/>
      <c r="D50" s="1549"/>
      <c r="E50" s="81" t="s">
        <v>1036</v>
      </c>
      <c r="F50" s="986"/>
      <c r="G50" s="116">
        <f t="shared" si="0"/>
        <v>0</v>
      </c>
      <c r="H50" s="115">
        <f>IF(G50&gt;F9,F9*0.75,G50*0.75)</f>
        <v>0</v>
      </c>
      <c r="I50" s="67"/>
      <c r="J50" s="938"/>
    </row>
    <row r="51" spans="1:10" ht="27.75" customHeight="1" thickBot="1">
      <c r="A51" s="938"/>
      <c r="B51" s="1553"/>
      <c r="C51" s="1574"/>
      <c r="D51" s="1550" t="s">
        <v>1037</v>
      </c>
      <c r="E51" s="117" t="s">
        <v>1038</v>
      </c>
      <c r="F51" s="985"/>
      <c r="G51" s="116"/>
      <c r="H51" s="115">
        <f>F51*'6-Tool biodiversiteit'!E252</f>
        <v>0</v>
      </c>
      <c r="I51" s="67"/>
      <c r="J51" s="938"/>
    </row>
    <row r="52" spans="1:10" ht="27" customHeight="1" thickBot="1">
      <c r="A52" s="938"/>
      <c r="B52" s="1553"/>
      <c r="C52" s="1574"/>
      <c r="D52" s="1551"/>
      <c r="E52" s="114" t="s">
        <v>1039</v>
      </c>
      <c r="F52" s="986"/>
      <c r="G52" s="113"/>
      <c r="H52" s="112">
        <f>F52*'6-Tool biodiversiteit'!E253</f>
        <v>0</v>
      </c>
      <c r="I52" s="73">
        <f>IF(SUM(H51:H52)&gt;0,1,0)</f>
        <v>0</v>
      </c>
      <c r="J52" s="938"/>
    </row>
    <row r="53" spans="1:10" ht="13.5" customHeight="1" thickBot="1">
      <c r="A53" s="938"/>
      <c r="B53" s="1553"/>
      <c r="C53" s="1574"/>
      <c r="D53" s="111"/>
      <c r="E53" s="111"/>
      <c r="F53" s="110"/>
      <c r="G53" s="109" t="s">
        <v>1866</v>
      </c>
      <c r="H53" s="108" t="s">
        <v>1867</v>
      </c>
      <c r="I53" s="67"/>
      <c r="J53" s="938"/>
    </row>
    <row r="54" spans="1:10" ht="19.5" customHeight="1" thickBot="1">
      <c r="A54" s="938"/>
      <c r="B54" s="1554"/>
      <c r="C54" s="1575"/>
      <c r="D54" s="974" t="s">
        <v>1040</v>
      </c>
      <c r="E54" s="987"/>
      <c r="F54" s="988" t="e">
        <f>VLOOKUP(H54,'6-Tool biodiversiteit'!A173:C181,3)</f>
        <v>#DIV/0!</v>
      </c>
      <c r="G54" s="107">
        <f>IF(I54&gt;2,1.1,1)</f>
        <v>1</v>
      </c>
      <c r="H54" s="106" t="e">
        <f>(SUM(H43:H49,H51:H52)*G54/F10*100)+IF(F9=0,0,(H50/F9*100))</f>
        <v>#DIV/0!</v>
      </c>
      <c r="I54" s="73">
        <f>SUM(I52+I48+I44+I42)</f>
        <v>0</v>
      </c>
      <c r="J54" s="938"/>
    </row>
    <row r="55" spans="1:10" ht="34.5" customHeight="1" thickBot="1">
      <c r="A55" s="938"/>
      <c r="B55" s="946"/>
      <c r="C55" s="947"/>
      <c r="D55" s="947"/>
      <c r="E55" s="947"/>
      <c r="F55" s="948"/>
      <c r="G55" s="67"/>
      <c r="H55" s="67"/>
      <c r="I55" s="67"/>
      <c r="J55" s="938"/>
    </row>
    <row r="56" spans="1:10" ht="19.5" customHeight="1" thickBot="1">
      <c r="A56" s="938"/>
      <c r="B56" s="1552" t="s">
        <v>501</v>
      </c>
      <c r="C56" s="1561" t="s">
        <v>1044</v>
      </c>
      <c r="D56" s="1548" t="s">
        <v>1045</v>
      </c>
      <c r="E56" s="100" t="s">
        <v>1047</v>
      </c>
      <c r="F56" s="959"/>
      <c r="G56" s="92"/>
      <c r="H56" s="92"/>
      <c r="I56" s="67"/>
      <c r="J56" s="938"/>
    </row>
    <row r="57" spans="1:10" ht="19.5" customHeight="1" thickBot="1">
      <c r="A57" s="938"/>
      <c r="B57" s="1553"/>
      <c r="C57" s="1562"/>
      <c r="D57" s="1564"/>
      <c r="E57" s="96" t="s">
        <v>1048</v>
      </c>
      <c r="F57" s="981"/>
      <c r="G57" s="86" t="e">
        <f>VLOOKUP(F57,'6-Tool biodiversiteit'!$D$121:$E$125,2)</f>
        <v>#N/A</v>
      </c>
      <c r="H57" s="105" t="s">
        <v>1868</v>
      </c>
      <c r="I57" s="67"/>
      <c r="J57" s="938"/>
    </row>
    <row r="58" spans="1:10" ht="19.5" customHeight="1" thickBot="1">
      <c r="A58" s="938"/>
      <c r="B58" s="1553"/>
      <c r="C58" s="1562"/>
      <c r="D58" s="1564"/>
      <c r="E58" s="104" t="s">
        <v>1049</v>
      </c>
      <c r="F58" s="981"/>
      <c r="G58" s="103" t="e">
        <f>VLOOKUP(F58,'6-Tool biodiversiteit'!$D$121:$E$125,2)</f>
        <v>#N/A</v>
      </c>
      <c r="H58" s="95" t="e">
        <f>IF(F56="afwezig",1,G57+G58+G59)</f>
        <v>#N/A</v>
      </c>
      <c r="I58" s="67"/>
      <c r="J58" s="938"/>
    </row>
    <row r="59" spans="1:10" ht="19.5" customHeight="1" thickBot="1">
      <c r="A59" s="938"/>
      <c r="B59" s="1553"/>
      <c r="C59" s="1562"/>
      <c r="D59" s="1564"/>
      <c r="E59" s="77" t="s">
        <v>1050</v>
      </c>
      <c r="F59" s="981"/>
      <c r="G59" s="102" t="e">
        <f>VLOOKUP(F59,'6-Tool biodiversiteit'!$D$121:$E$125,2)</f>
        <v>#N/A</v>
      </c>
      <c r="H59" s="92"/>
      <c r="I59" s="67"/>
      <c r="J59" s="938"/>
    </row>
    <row r="60" spans="1:10" ht="24.95" customHeight="1" thickBot="1">
      <c r="A60" s="938"/>
      <c r="B60" s="1553"/>
      <c r="C60" s="1562"/>
      <c r="D60" s="1549"/>
      <c r="E60" s="94" t="e">
        <f>IF(H58&lt;0.8,"Votre total n'atteint pas les 100 %, augmentez vos proportions"," ")</f>
        <v>#N/A</v>
      </c>
      <c r="F60" s="348" t="e">
        <f>IF(H58&gt;1,"Votre total dépasse 100 %, réduisez vos proportions"," ")</f>
        <v>#N/A</v>
      </c>
      <c r="G60" s="101" t="s">
        <v>1869</v>
      </c>
      <c r="H60" s="90" t="e">
        <f>IF(F56="afwezig",4,IF(H58&gt;1,0,G57+G58*2+G59*4))</f>
        <v>#N/A</v>
      </c>
      <c r="I60" s="67"/>
      <c r="J60" s="938"/>
    </row>
    <row r="61" spans="1:10" ht="19.5" customHeight="1" thickBot="1">
      <c r="A61" s="938"/>
      <c r="B61" s="1553"/>
      <c r="C61" s="1562"/>
      <c r="D61" s="1548" t="s">
        <v>1046</v>
      </c>
      <c r="E61" s="100" t="s">
        <v>1101</v>
      </c>
      <c r="F61" s="959"/>
      <c r="G61" s="99"/>
      <c r="H61" s="98"/>
      <c r="I61" s="67"/>
      <c r="J61" s="938"/>
    </row>
    <row r="62" spans="1:10" ht="19.5" customHeight="1">
      <c r="A62" s="938"/>
      <c r="B62" s="1553"/>
      <c r="C62" s="1562"/>
      <c r="D62" s="1564"/>
      <c r="E62" s="96" t="s">
        <v>1051</v>
      </c>
      <c r="F62" s="981"/>
      <c r="G62" s="86" t="e">
        <f>VLOOKUP(F62,'6-Tool biodiversiteit'!$D$128:$E$132,2)</f>
        <v>#N/A</v>
      </c>
      <c r="H62" s="97" t="s">
        <v>1868</v>
      </c>
      <c r="I62" s="67"/>
      <c r="J62" s="938"/>
    </row>
    <row r="63" spans="1:10" ht="19.5" customHeight="1" thickBot="1">
      <c r="A63" s="938"/>
      <c r="B63" s="1553"/>
      <c r="C63" s="1562"/>
      <c r="D63" s="1564"/>
      <c r="E63" s="96" t="s">
        <v>1052</v>
      </c>
      <c r="F63" s="981"/>
      <c r="G63" s="84" t="e">
        <f>VLOOKUP(F63,'6-Tool biodiversiteit'!$D$128:$E$132,2)</f>
        <v>#N/A</v>
      </c>
      <c r="H63" s="95" t="e">
        <f>IF(F61="afwezig",1,G62+G63)</f>
        <v>#N/A</v>
      </c>
      <c r="I63" s="67"/>
      <c r="J63" s="938"/>
    </row>
    <row r="64" spans="1:10" ht="24.95" customHeight="1" thickBot="1">
      <c r="A64" s="938"/>
      <c r="B64" s="1553"/>
      <c r="C64" s="1562"/>
      <c r="D64" s="1549"/>
      <c r="E64" s="94" t="e">
        <f>IF(H63&lt;0.8,"Uw totaal&lt; 100 %, argumenteer"," ")</f>
        <v>#N/A</v>
      </c>
      <c r="F64" s="93" t="e">
        <f>IF(H63&gt;1,"Uw totaal &gt; 100 %, pas aan"," ")</f>
        <v>#N/A</v>
      </c>
      <c r="G64" s="101" t="s">
        <v>1869</v>
      </c>
      <c r="H64" s="90" t="e">
        <f>IF(F61="afwezig",4,IF(H63&gt;1,0,G62+G63*4))</f>
        <v>#N/A</v>
      </c>
      <c r="I64" s="67"/>
      <c r="J64" s="938"/>
    </row>
    <row r="65" spans="1:10" ht="13.5" customHeight="1" thickBot="1">
      <c r="A65" s="938"/>
      <c r="B65" s="1553"/>
      <c r="C65" s="1562"/>
      <c r="D65" s="89"/>
      <c r="E65" s="72"/>
      <c r="F65" s="71"/>
      <c r="G65" s="92"/>
      <c r="H65" s="92"/>
      <c r="I65" s="67"/>
      <c r="J65" s="938"/>
    </row>
    <row r="66" spans="1:10" ht="19.5" customHeight="1" thickBot="1">
      <c r="A66" s="938"/>
      <c r="B66" s="1554"/>
      <c r="C66" s="1563"/>
      <c r="D66" s="1565" t="s">
        <v>1053</v>
      </c>
      <c r="E66" s="1566"/>
      <c r="F66" s="958" t="e">
        <f>IF(OR(H58&lt;0.8,H63&lt;0.8),0,VLOOKUP(H66,'6-Tool biodiversiteit'!A187:C191,3))</f>
        <v>#N/A</v>
      </c>
      <c r="G66" s="91" t="s">
        <v>1870</v>
      </c>
      <c r="H66" s="90" t="e">
        <f>H60+H64</f>
        <v>#N/A</v>
      </c>
      <c r="I66" s="67"/>
      <c r="J66" s="938"/>
    </row>
    <row r="67" spans="1:10" ht="34.5" customHeight="1" thickBot="1">
      <c r="A67" s="938"/>
      <c r="B67" s="946"/>
      <c r="C67" s="947"/>
      <c r="D67" s="961"/>
      <c r="E67" s="947"/>
      <c r="F67" s="948"/>
      <c r="G67" s="67"/>
      <c r="H67" s="67"/>
      <c r="I67" s="67"/>
      <c r="J67" s="938"/>
    </row>
    <row r="68" spans="1:10" ht="30" customHeight="1" thickBot="1">
      <c r="A68" s="938"/>
      <c r="B68" s="1552" t="s">
        <v>500</v>
      </c>
      <c r="C68" s="1561" t="s">
        <v>1058</v>
      </c>
      <c r="D68" s="338" t="s">
        <v>1055</v>
      </c>
      <c r="E68" s="87" t="s">
        <v>1054</v>
      </c>
      <c r="F68" s="959"/>
      <c r="G68" s="86">
        <f>IF(F68="geen inventaris",-10,0)</f>
        <v>0</v>
      </c>
      <c r="H68" s="88">
        <f>IF(F68="Oui",1,0)</f>
        <v>0</v>
      </c>
      <c r="I68" s="67"/>
      <c r="J68" s="938"/>
    </row>
    <row r="69" spans="1:10" ht="30" customHeight="1" thickBot="1">
      <c r="A69" s="938"/>
      <c r="B69" s="1553"/>
      <c r="C69" s="1562"/>
      <c r="D69" s="1583" t="s">
        <v>1777</v>
      </c>
      <c r="E69" s="87" t="s">
        <v>1056</v>
      </c>
      <c r="F69" s="959"/>
      <c r="G69" s="86">
        <f>IF(F69="geen inventaris",-10,0)</f>
        <v>0</v>
      </c>
      <c r="H69" s="85">
        <f>IF(F69="Oui",1,0)</f>
        <v>0</v>
      </c>
      <c r="I69" s="67"/>
      <c r="J69" s="938"/>
    </row>
    <row r="70" spans="1:10" ht="19.5" customHeight="1" thickBot="1">
      <c r="A70" s="938"/>
      <c r="B70" s="1553"/>
      <c r="C70" s="1562"/>
      <c r="D70" s="1551"/>
      <c r="E70" s="81" t="s">
        <v>1057</v>
      </c>
      <c r="F70" s="986"/>
      <c r="G70" s="84">
        <f>IF(H69=1,IF(F70="Oui",-1,0),0)</f>
        <v>0</v>
      </c>
      <c r="H70" s="67"/>
      <c r="I70" s="67"/>
      <c r="J70" s="938"/>
    </row>
    <row r="71" spans="1:10" ht="13.5" thickBot="1">
      <c r="A71" s="938"/>
      <c r="B71" s="1553"/>
      <c r="C71" s="1562"/>
      <c r="D71" s="72"/>
      <c r="E71" s="72"/>
      <c r="F71" s="71"/>
      <c r="G71" s="83"/>
      <c r="H71" s="67"/>
      <c r="I71" s="67"/>
      <c r="J71" s="938"/>
    </row>
    <row r="72" spans="1:10" ht="40.5" customHeight="1" thickBot="1">
      <c r="A72" s="938"/>
      <c r="B72" s="1554"/>
      <c r="C72" s="1563"/>
      <c r="D72" s="956" t="s">
        <v>1067</v>
      </c>
      <c r="E72" s="957"/>
      <c r="F72" s="960" t="str">
        <f>VLOOKUP(G72,'6-Tool biodiversiteit'!A197:C199,3)</f>
        <v>Geen ristrictie</v>
      </c>
      <c r="G72" s="82">
        <f>SUM(G68:G70,H68:H69)</f>
        <v>0</v>
      </c>
      <c r="H72" s="67"/>
      <c r="I72" s="67"/>
      <c r="J72" s="938"/>
    </row>
    <row r="73" spans="1:10" ht="34.5" customHeight="1" thickBot="1">
      <c r="A73" s="938"/>
      <c r="B73" s="946"/>
      <c r="C73" s="947"/>
      <c r="D73" s="947"/>
      <c r="E73" s="947"/>
      <c r="F73" s="948"/>
      <c r="G73" s="67"/>
      <c r="H73" s="67"/>
      <c r="I73" s="67"/>
      <c r="J73" s="938"/>
    </row>
    <row r="74" spans="1:10" ht="19.5" customHeight="1">
      <c r="A74" s="938"/>
      <c r="B74" s="1552" t="s">
        <v>499</v>
      </c>
      <c r="C74" s="1561" t="s">
        <v>1064</v>
      </c>
      <c r="D74" s="1584" t="s">
        <v>1065</v>
      </c>
      <c r="E74" s="79" t="s">
        <v>1059</v>
      </c>
      <c r="F74" s="959"/>
      <c r="G74" s="78">
        <f>IF(F74="ja",1,0)</f>
        <v>0</v>
      </c>
      <c r="H74" s="67"/>
      <c r="I74" s="67"/>
      <c r="J74" s="938"/>
    </row>
    <row r="75" spans="1:10" ht="19.5" customHeight="1">
      <c r="A75" s="938"/>
      <c r="B75" s="1553"/>
      <c r="C75" s="1562"/>
      <c r="D75" s="1585"/>
      <c r="E75" s="77" t="s">
        <v>1060</v>
      </c>
      <c r="F75" s="981"/>
      <c r="G75" s="76">
        <f>IF(F75="ja",1,0)</f>
        <v>0</v>
      </c>
      <c r="H75" s="67"/>
      <c r="I75" s="67"/>
      <c r="J75" s="938"/>
    </row>
    <row r="76" spans="1:10" ht="19.5" customHeight="1">
      <c r="A76" s="938"/>
      <c r="B76" s="1553"/>
      <c r="C76" s="1562"/>
      <c r="D76" s="1585"/>
      <c r="E76" s="77" t="s">
        <v>1061</v>
      </c>
      <c r="F76" s="981"/>
      <c r="G76" s="76">
        <f>IF(F76="ja",1,0)</f>
        <v>0</v>
      </c>
      <c r="H76" s="67"/>
      <c r="I76" s="67"/>
      <c r="J76" s="938"/>
    </row>
    <row r="77" spans="1:10" ht="19.5" customHeight="1">
      <c r="A77" s="938"/>
      <c r="B77" s="1553"/>
      <c r="C77" s="1562"/>
      <c r="D77" s="1585"/>
      <c r="E77" s="77" t="s">
        <v>1062</v>
      </c>
      <c r="F77" s="981"/>
      <c r="G77" s="76">
        <f t="shared" ref="G77:G78" si="1">IF(F77="ja",1,0)</f>
        <v>0</v>
      </c>
      <c r="H77" s="67"/>
      <c r="I77" s="67"/>
      <c r="J77" s="938"/>
    </row>
    <row r="78" spans="1:10" ht="19.5" customHeight="1" thickBot="1">
      <c r="A78" s="938"/>
      <c r="B78" s="1553"/>
      <c r="C78" s="1562"/>
      <c r="D78" s="1586"/>
      <c r="E78" s="81" t="s">
        <v>1063</v>
      </c>
      <c r="F78" s="986"/>
      <c r="G78" s="76">
        <f t="shared" si="1"/>
        <v>0</v>
      </c>
      <c r="H78" s="67"/>
      <c r="I78" s="67"/>
      <c r="J78" s="938"/>
    </row>
    <row r="79" spans="1:10" ht="13.5" customHeight="1" thickBot="1">
      <c r="A79" s="938"/>
      <c r="B79" s="1553"/>
      <c r="C79" s="1562"/>
      <c r="D79" s="72"/>
      <c r="E79" s="72"/>
      <c r="F79" s="71"/>
      <c r="G79" s="80"/>
      <c r="H79" s="67"/>
      <c r="I79" s="67"/>
      <c r="J79" s="938"/>
    </row>
    <row r="80" spans="1:10" ht="19.5" customHeight="1" thickBot="1">
      <c r="A80" s="938"/>
      <c r="B80" s="1554"/>
      <c r="C80" s="1563"/>
      <c r="D80" s="956" t="s">
        <v>1066</v>
      </c>
      <c r="E80" s="957"/>
      <c r="F80" s="958">
        <f>VLOOKUP(G80,'6-Tool biodiversiteit'!A205:C209,3)</f>
        <v>0</v>
      </c>
      <c r="G80" s="73">
        <f>G78+G77+G76+G75+G74</f>
        <v>0</v>
      </c>
      <c r="H80" s="67"/>
      <c r="I80" s="67"/>
      <c r="J80" s="938"/>
    </row>
    <row r="81" spans="1:10" ht="17.100000000000001" customHeight="1">
      <c r="A81" s="938"/>
      <c r="B81" s="946"/>
      <c r="C81" s="947"/>
      <c r="D81" s="947"/>
      <c r="E81" s="947"/>
      <c r="F81" s="948"/>
      <c r="G81" s="67"/>
      <c r="H81" s="67"/>
      <c r="I81" s="67"/>
      <c r="J81" s="938"/>
    </row>
    <row r="82" spans="1:10" ht="24.95" customHeight="1">
      <c r="A82" s="938"/>
      <c r="B82" s="1555" t="s">
        <v>1068</v>
      </c>
      <c r="C82" s="1556"/>
      <c r="D82" s="1556"/>
      <c r="E82" s="1556"/>
      <c r="F82" s="948"/>
      <c r="G82" s="67"/>
      <c r="H82" s="67"/>
      <c r="I82" s="67"/>
      <c r="J82" s="938"/>
    </row>
    <row r="83" spans="1:10" ht="15" customHeight="1" thickBot="1">
      <c r="A83" s="938"/>
      <c r="B83" s="946"/>
      <c r="C83" s="947"/>
      <c r="D83" s="947"/>
      <c r="E83" s="947"/>
      <c r="F83" s="948"/>
      <c r="G83" s="939"/>
      <c r="H83" s="939"/>
      <c r="I83" s="939"/>
      <c r="J83" s="938"/>
    </row>
    <row r="84" spans="1:10" ht="19.5" customHeight="1" thickBot="1">
      <c r="A84" s="938"/>
      <c r="B84" s="1552" t="s">
        <v>498</v>
      </c>
      <c r="C84" s="1561" t="s">
        <v>1069</v>
      </c>
      <c r="D84" s="1579" t="s">
        <v>1070</v>
      </c>
      <c r="E84" s="79" t="s">
        <v>1071</v>
      </c>
      <c r="F84" s="959"/>
      <c r="G84" s="78" t="e">
        <f>VLOOKUP(F84,'6-Tool biodiversiteit'!$D$144:$E$147,2)</f>
        <v>#N/A</v>
      </c>
      <c r="H84" s="67"/>
      <c r="I84" s="67"/>
      <c r="J84" s="938"/>
    </row>
    <row r="85" spans="1:10" ht="19.5" customHeight="1" thickBot="1">
      <c r="A85" s="938"/>
      <c r="B85" s="1553"/>
      <c r="C85" s="1562"/>
      <c r="D85" s="1580"/>
      <c r="E85" s="77" t="s">
        <v>1072</v>
      </c>
      <c r="F85" s="959"/>
      <c r="G85" s="76" t="e">
        <f>VLOOKUP(F85,'6-Tool biodiversiteit'!$D$144:$E$147,2)</f>
        <v>#N/A</v>
      </c>
      <c r="H85" s="67"/>
      <c r="I85" s="67"/>
      <c r="J85" s="938"/>
    </row>
    <row r="86" spans="1:10" ht="19.5" customHeight="1" thickBot="1">
      <c r="A86" s="938"/>
      <c r="B86" s="1553"/>
      <c r="C86" s="1562"/>
      <c r="D86" s="1580"/>
      <c r="E86" s="77" t="s">
        <v>1073</v>
      </c>
      <c r="F86" s="959"/>
      <c r="G86" s="76" t="e">
        <f>VLOOKUP(F86,'6-Tool biodiversiteit'!$D$144:$E$147,2)</f>
        <v>#N/A</v>
      </c>
      <c r="H86" s="67"/>
      <c r="I86" s="67"/>
      <c r="J86" s="938"/>
    </row>
    <row r="87" spans="1:10" ht="30.75" customHeight="1" thickBot="1">
      <c r="A87" s="938"/>
      <c r="B87" s="1553"/>
      <c r="C87" s="1562"/>
      <c r="D87" s="1581"/>
      <c r="E87" s="1145" t="s">
        <v>1074</v>
      </c>
      <c r="F87" s="959"/>
      <c r="G87" s="74" t="e">
        <f>VLOOKUP(F87,'6-Tool biodiversiteit'!$D$144:$E$147,2)</f>
        <v>#N/A</v>
      </c>
      <c r="H87" s="67"/>
      <c r="I87" s="67"/>
      <c r="J87" s="938"/>
    </row>
    <row r="88" spans="1:10" ht="13.5" thickBot="1">
      <c r="A88" s="938"/>
      <c r="B88" s="1553"/>
      <c r="C88" s="1562"/>
      <c r="D88" s="72"/>
      <c r="E88" s="72"/>
      <c r="F88" s="71"/>
      <c r="G88" s="67"/>
      <c r="H88" s="67"/>
      <c r="I88" s="67"/>
      <c r="J88" s="938"/>
    </row>
    <row r="89" spans="1:10" ht="19.5" customHeight="1" thickBot="1">
      <c r="A89" s="938"/>
      <c r="B89" s="1554"/>
      <c r="C89" s="1563"/>
      <c r="D89" s="956" t="s">
        <v>1075</v>
      </c>
      <c r="E89" s="957"/>
      <c r="F89" s="958" t="e">
        <f>VLOOKUP(G89,'6-Tool biodiversiteit'!A215:C219,3)</f>
        <v>#N/A</v>
      </c>
      <c r="G89" s="73" t="e">
        <f>SUM(G84:G87)</f>
        <v>#N/A</v>
      </c>
      <c r="H89" s="67"/>
      <c r="I89" s="67"/>
      <c r="J89" s="938"/>
    </row>
    <row r="90" spans="1:10" ht="34.5" customHeight="1" thickBot="1">
      <c r="A90" s="938"/>
      <c r="B90" s="951"/>
      <c r="C90" s="952"/>
      <c r="D90" s="953"/>
      <c r="E90" s="953"/>
      <c r="F90" s="954"/>
      <c r="G90" s="955"/>
      <c r="H90" s="939"/>
      <c r="I90" s="939"/>
      <c r="J90" s="938"/>
    </row>
    <row r="91" spans="1:10" ht="14.25" customHeight="1" thickBot="1">
      <c r="A91" s="938"/>
      <c r="B91" s="946"/>
      <c r="C91" s="947"/>
      <c r="D91" s="947"/>
      <c r="E91" s="947"/>
      <c r="F91" s="948"/>
      <c r="G91" s="949" t="s">
        <v>1871</v>
      </c>
      <c r="H91" s="950" t="s">
        <v>1872</v>
      </c>
      <c r="I91" s="939"/>
      <c r="J91" s="938"/>
    </row>
    <row r="92" spans="1:10" ht="25.5" customHeight="1" thickBot="1">
      <c r="A92" s="938"/>
      <c r="B92" s="940"/>
      <c r="C92" s="1546" t="s">
        <v>1076</v>
      </c>
      <c r="D92" s="1546"/>
      <c r="E92" s="1547"/>
      <c r="F92" s="942" t="e">
        <f>VLOOKUP(G92,'6-Tool biodiversiteit'!A225:C227,3)</f>
        <v>#DIV/0!</v>
      </c>
      <c r="G92" s="70">
        <f>G72</f>
        <v>0</v>
      </c>
      <c r="H92" s="69" t="e">
        <f>F54*0.55+F66*0.25+F80*0.1+F89*0.1</f>
        <v>#DIV/0!</v>
      </c>
      <c r="I92" s="67"/>
      <c r="J92" s="938"/>
    </row>
    <row r="93" spans="1:10">
      <c r="A93" s="938"/>
      <c r="B93" s="946"/>
      <c r="C93" s="947"/>
      <c r="D93" s="947"/>
      <c r="E93" s="947"/>
      <c r="F93" s="948"/>
      <c r="G93" s="939"/>
      <c r="H93" s="939"/>
      <c r="I93" s="939"/>
      <c r="J93" s="938"/>
    </row>
    <row r="94" spans="1:10" ht="13.5" thickBot="1">
      <c r="A94" s="938"/>
      <c r="B94" s="946"/>
      <c r="C94" s="947"/>
      <c r="D94" s="947"/>
      <c r="E94" s="947"/>
      <c r="F94" s="948"/>
      <c r="G94" s="945"/>
      <c r="H94" s="939"/>
      <c r="I94" s="939"/>
      <c r="J94" s="938"/>
    </row>
    <row r="95" spans="1:10" ht="13.5" thickBot="1">
      <c r="A95" s="938"/>
      <c r="B95" s="946"/>
      <c r="C95" s="947"/>
      <c r="D95" s="947"/>
      <c r="E95" s="947"/>
      <c r="F95" s="948"/>
      <c r="G95" s="949" t="s">
        <v>1873</v>
      </c>
      <c r="H95" s="950" t="s">
        <v>1872</v>
      </c>
      <c r="I95" s="939"/>
      <c r="J95" s="938"/>
    </row>
    <row r="96" spans="1:10" ht="25.5" customHeight="1" thickBot="1">
      <c r="A96" s="938"/>
      <c r="B96" s="940"/>
      <c r="C96" s="944" t="s">
        <v>1077</v>
      </c>
      <c r="D96" s="944"/>
      <c r="E96" s="941" t="e">
        <f>IF(OR(F92&gt;F96,F92=F96,F96="Le choix du site n'est pas en accord avec le CWATUP"),"","Le niveau d'ambition du site est trop bas")</f>
        <v>#DIV/0!</v>
      </c>
      <c r="F96" s="943" t="str">
        <f>IF(G96&lt;0,"Avis du DNF: choix du site en désaccord avec la législation",H96)</f>
        <v>Avis du DNF: choix du site en désaccord avec la législation</v>
      </c>
      <c r="G96" s="70">
        <f>IF(G25&lt;0,-1,F25+F29)</f>
        <v>-1</v>
      </c>
      <c r="H96" s="69">
        <f>IF(G96&gt;1,2,0)</f>
        <v>0</v>
      </c>
      <c r="I96" s="67"/>
      <c r="J96" s="938"/>
    </row>
    <row r="97" spans="1:14" ht="28.5" customHeight="1">
      <c r="A97" s="938"/>
      <c r="B97" s="938"/>
      <c r="C97" s="938"/>
      <c r="D97" s="938"/>
      <c r="E97" s="938"/>
      <c r="F97" s="938"/>
      <c r="G97" s="945"/>
      <c r="H97" s="939"/>
      <c r="I97" s="939"/>
      <c r="J97" s="938"/>
    </row>
    <row r="98" spans="1:14" ht="15.75" customHeight="1">
      <c r="G98" s="67"/>
      <c r="H98" s="67"/>
      <c r="I98" s="67"/>
    </row>
    <row r="99" spans="1:14" ht="15.75" customHeight="1">
      <c r="A99" s="470"/>
      <c r="B99" s="470"/>
      <c r="C99" s="470"/>
      <c r="D99" s="470"/>
      <c r="E99" s="470"/>
      <c r="F99" s="470"/>
      <c r="G99" s="471"/>
      <c r="H99" s="67"/>
      <c r="I99" s="67"/>
    </row>
    <row r="100" spans="1:14" ht="15.75" hidden="1" customHeight="1">
      <c r="A100" s="1582" t="s">
        <v>1778</v>
      </c>
      <c r="B100" s="1582"/>
      <c r="C100" s="1582"/>
      <c r="D100" s="1582"/>
      <c r="E100" s="1582"/>
      <c r="F100" s="472"/>
      <c r="G100" s="472"/>
      <c r="H100" s="10"/>
      <c r="I100" s="10"/>
      <c r="J100" s="10"/>
      <c r="K100" s="10"/>
      <c r="L100" s="10"/>
      <c r="M100" s="10"/>
      <c r="N100" s="10"/>
    </row>
    <row r="101" spans="1:14" ht="15.75" hidden="1" customHeight="1" thickBot="1">
      <c r="F101" s="470"/>
      <c r="G101" s="470"/>
    </row>
    <row r="102" spans="1:14" ht="15.75" hidden="1" customHeight="1">
      <c r="D102" s="1599" t="s">
        <v>1779</v>
      </c>
      <c r="E102" s="1600"/>
      <c r="F102" s="470"/>
      <c r="G102" s="470"/>
    </row>
    <row r="103" spans="1:14" ht="15.75" hidden="1" customHeight="1">
      <c r="D103" s="1595" t="s">
        <v>1082</v>
      </c>
      <c r="E103" s="1596"/>
      <c r="F103" s="470"/>
      <c r="G103" s="470"/>
    </row>
    <row r="104" spans="1:14" ht="15.75" hidden="1" customHeight="1">
      <c r="D104" s="1595" t="s">
        <v>1083</v>
      </c>
      <c r="E104" s="1596"/>
      <c r="F104" s="470"/>
      <c r="G104" s="470"/>
    </row>
    <row r="105" spans="1:14" ht="15.75" hidden="1" customHeight="1" thickBot="1">
      <c r="D105" s="1597" t="s">
        <v>1084</v>
      </c>
      <c r="E105" s="1598"/>
      <c r="F105" s="470"/>
      <c r="G105" s="470"/>
    </row>
    <row r="106" spans="1:14" ht="15.75" hidden="1" customHeight="1" thickBot="1">
      <c r="F106" s="470"/>
      <c r="G106" s="470"/>
    </row>
    <row r="107" spans="1:14" ht="15.75" hidden="1" customHeight="1">
      <c r="D107" s="66" t="s">
        <v>1780</v>
      </c>
      <c r="E107" s="53" t="s">
        <v>1781</v>
      </c>
      <c r="F107" s="470"/>
      <c r="G107" s="470"/>
    </row>
    <row r="108" spans="1:14" ht="15.75" hidden="1" customHeight="1">
      <c r="D108" s="65" t="s">
        <v>1079</v>
      </c>
      <c r="E108" s="51">
        <v>0</v>
      </c>
      <c r="F108" s="470"/>
      <c r="G108" s="470"/>
    </row>
    <row r="109" spans="1:14" ht="15.75" hidden="1" customHeight="1">
      <c r="D109" s="65" t="s">
        <v>1080</v>
      </c>
      <c r="E109" s="51">
        <v>1</v>
      </c>
      <c r="F109" s="470"/>
      <c r="G109" s="470"/>
    </row>
    <row r="110" spans="1:14" ht="15.75" hidden="1" customHeight="1" thickBot="1">
      <c r="D110" s="64" t="s">
        <v>1081</v>
      </c>
      <c r="E110" s="49">
        <v>-5</v>
      </c>
      <c r="F110" s="470"/>
      <c r="G110" s="470"/>
    </row>
    <row r="111" spans="1:14" ht="15.75" hidden="1" customHeight="1" thickBot="1">
      <c r="F111" s="470"/>
      <c r="G111" s="470"/>
    </row>
    <row r="112" spans="1:14" ht="15.75" hidden="1" customHeight="1">
      <c r="D112" s="60" t="s">
        <v>1727</v>
      </c>
      <c r="F112" s="470"/>
      <c r="G112" s="470"/>
    </row>
    <row r="113" spans="4:7" ht="15.75" hidden="1" customHeight="1">
      <c r="D113" s="59" t="s">
        <v>1085</v>
      </c>
      <c r="F113" s="470"/>
      <c r="G113" s="470"/>
    </row>
    <row r="114" spans="4:7" ht="15.75" hidden="1" customHeight="1">
      <c r="D114" s="63">
        <v>0</v>
      </c>
      <c r="F114" s="470"/>
      <c r="G114" s="470"/>
    </row>
    <row r="115" spans="4:7" ht="15.75" hidden="1" customHeight="1">
      <c r="D115" s="63">
        <v>0.25</v>
      </c>
      <c r="F115" s="470"/>
      <c r="G115" s="470"/>
    </row>
    <row r="116" spans="4:7" ht="15.75" hidden="1" customHeight="1">
      <c r="D116" s="63">
        <v>0.5</v>
      </c>
      <c r="F116" s="470"/>
      <c r="G116" s="470"/>
    </row>
    <row r="117" spans="4:7" ht="15.75" hidden="1" customHeight="1">
      <c r="D117" s="63">
        <v>0.75</v>
      </c>
      <c r="F117" s="470"/>
      <c r="G117" s="470"/>
    </row>
    <row r="118" spans="4:7" ht="15.75" hidden="1" customHeight="1" thickBot="1">
      <c r="D118" s="62">
        <v>1</v>
      </c>
      <c r="F118" s="470"/>
      <c r="G118" s="470"/>
    </row>
    <row r="119" spans="4:7" ht="15.75" hidden="1" customHeight="1" thickBot="1">
      <c r="F119" s="470"/>
      <c r="G119" s="470"/>
    </row>
    <row r="120" spans="4:7" ht="15.75" hidden="1" customHeight="1">
      <c r="D120" s="57" t="s">
        <v>1782</v>
      </c>
      <c r="E120" s="53" t="s">
        <v>1781</v>
      </c>
      <c r="F120" s="470"/>
      <c r="G120" s="470"/>
    </row>
    <row r="121" spans="4:7" ht="15.75" hidden="1" customHeight="1">
      <c r="D121" s="56" t="s">
        <v>1086</v>
      </c>
      <c r="E121" s="51">
        <v>0</v>
      </c>
      <c r="F121" s="470"/>
      <c r="G121" s="470"/>
    </row>
    <row r="122" spans="4:7" ht="15.75" hidden="1" customHeight="1">
      <c r="D122" s="56" t="s">
        <v>1087</v>
      </c>
      <c r="E122" s="51">
        <v>0.25</v>
      </c>
      <c r="F122" s="470"/>
      <c r="G122" s="470"/>
    </row>
    <row r="123" spans="4:7" ht="15.75" hidden="1" customHeight="1">
      <c r="D123" s="56" t="s">
        <v>1090</v>
      </c>
      <c r="E123" s="51">
        <v>0.5</v>
      </c>
      <c r="F123" s="470"/>
      <c r="G123" s="470"/>
    </row>
    <row r="124" spans="4:7" ht="15.75" hidden="1" customHeight="1">
      <c r="D124" s="56" t="s">
        <v>1089</v>
      </c>
      <c r="E124" s="51">
        <v>0.75</v>
      </c>
      <c r="F124" s="470"/>
      <c r="G124" s="470"/>
    </row>
    <row r="125" spans="4:7" ht="15.75" hidden="1" customHeight="1" thickBot="1">
      <c r="D125" s="56" t="s">
        <v>1088</v>
      </c>
      <c r="E125" s="49">
        <v>1</v>
      </c>
      <c r="F125" s="470"/>
      <c r="G125" s="470"/>
    </row>
    <row r="126" spans="4:7" ht="15.75" hidden="1" customHeight="1" thickBot="1">
      <c r="F126" s="470"/>
      <c r="G126" s="470"/>
    </row>
    <row r="127" spans="4:7" ht="15.75" hidden="1" customHeight="1">
      <c r="D127" s="57" t="s">
        <v>1783</v>
      </c>
      <c r="E127" s="53" t="s">
        <v>1781</v>
      </c>
      <c r="F127" s="470"/>
      <c r="G127" s="470"/>
    </row>
    <row r="128" spans="4:7" ht="15.75" hidden="1" customHeight="1">
      <c r="D128" s="56" t="s">
        <v>1086</v>
      </c>
      <c r="E128" s="51">
        <v>0</v>
      </c>
      <c r="F128" s="470"/>
      <c r="G128" s="470"/>
    </row>
    <row r="129" spans="4:14" ht="15.75" hidden="1" customHeight="1">
      <c r="D129" s="56" t="s">
        <v>1091</v>
      </c>
      <c r="E129" s="51">
        <v>0.25</v>
      </c>
      <c r="F129" s="470"/>
      <c r="G129" s="470"/>
    </row>
    <row r="130" spans="4:14" ht="15.75" hidden="1" customHeight="1">
      <c r="D130" s="56" t="s">
        <v>1092</v>
      </c>
      <c r="E130" s="51">
        <v>0.5</v>
      </c>
      <c r="F130" s="470"/>
      <c r="G130" s="470"/>
    </row>
    <row r="131" spans="4:14" ht="15.75" hidden="1" customHeight="1">
      <c r="D131" s="56" t="s">
        <v>1093</v>
      </c>
      <c r="E131" s="51">
        <v>0.75</v>
      </c>
      <c r="F131" s="470"/>
      <c r="G131" s="470"/>
    </row>
    <row r="132" spans="4:14" ht="15.75" hidden="1" customHeight="1" thickBot="1">
      <c r="D132" s="56" t="s">
        <v>1094</v>
      </c>
      <c r="E132" s="49">
        <v>1</v>
      </c>
      <c r="F132" s="470"/>
      <c r="G132" s="470"/>
    </row>
    <row r="133" spans="4:14" ht="15.75" hidden="1" customHeight="1" thickBot="1">
      <c r="F133" s="473"/>
      <c r="G133" s="470"/>
    </row>
    <row r="134" spans="4:14" ht="15.75" hidden="1" customHeight="1">
      <c r="D134" s="60" t="s">
        <v>1784</v>
      </c>
      <c r="F134" s="473"/>
      <c r="G134" s="470"/>
    </row>
    <row r="135" spans="4:14" ht="15.75" hidden="1" customHeight="1">
      <c r="D135" s="59" t="s">
        <v>1095</v>
      </c>
      <c r="F135" s="473"/>
      <c r="G135" s="470"/>
    </row>
    <row r="136" spans="4:14" ht="15.75" hidden="1" customHeight="1" thickBot="1">
      <c r="D136" s="61" t="s">
        <v>1096</v>
      </c>
      <c r="F136" s="470"/>
      <c r="G136" s="470"/>
    </row>
    <row r="137" spans="4:14" ht="15.75" hidden="1" customHeight="1" thickBot="1">
      <c r="F137" s="470"/>
      <c r="G137" s="470"/>
    </row>
    <row r="138" spans="4:14" ht="15.75" hidden="1" customHeight="1">
      <c r="D138" s="60" t="s">
        <v>1785</v>
      </c>
      <c r="F138" s="470"/>
      <c r="G138" s="470"/>
      <c r="N138" s="2"/>
    </row>
    <row r="139" spans="4:14" ht="15.75" hidden="1" customHeight="1">
      <c r="D139" s="59" t="s">
        <v>1097</v>
      </c>
      <c r="F139" s="470"/>
      <c r="G139" s="470"/>
      <c r="N139" s="2"/>
    </row>
    <row r="140" spans="4:14" ht="15.75" hidden="1" customHeight="1">
      <c r="D140" s="59" t="s">
        <v>1095</v>
      </c>
      <c r="F140" s="470"/>
      <c r="G140" s="470"/>
    </row>
    <row r="141" spans="4:14" ht="15.75" hidden="1" customHeight="1" thickBot="1">
      <c r="D141" s="58" t="s">
        <v>1096</v>
      </c>
      <c r="F141" s="470"/>
      <c r="G141" s="470"/>
    </row>
    <row r="142" spans="4:14" ht="15.75" hidden="1" customHeight="1" thickBot="1">
      <c r="F142" s="470"/>
      <c r="G142" s="470"/>
    </row>
    <row r="143" spans="4:14" ht="15.75" hidden="1" customHeight="1">
      <c r="D143" s="57" t="s">
        <v>1786</v>
      </c>
      <c r="E143" s="53" t="s">
        <v>1781</v>
      </c>
      <c r="F143" s="470"/>
      <c r="G143" s="470"/>
    </row>
    <row r="144" spans="4:14" ht="15.75" hidden="1" customHeight="1">
      <c r="D144" s="56" t="s">
        <v>1102</v>
      </c>
      <c r="E144" s="51">
        <v>1</v>
      </c>
      <c r="F144" s="470"/>
      <c r="G144" s="470"/>
    </row>
    <row r="145" spans="1:7" ht="15.75" hidden="1" customHeight="1">
      <c r="D145" s="56" t="s">
        <v>1098</v>
      </c>
      <c r="E145" s="51">
        <v>2</v>
      </c>
      <c r="F145" s="470"/>
      <c r="G145" s="470"/>
    </row>
    <row r="146" spans="1:7" ht="15.75" hidden="1" customHeight="1">
      <c r="D146" s="56" t="s">
        <v>1099</v>
      </c>
      <c r="E146" s="51">
        <v>3</v>
      </c>
      <c r="F146" s="470"/>
      <c r="G146" s="470"/>
    </row>
    <row r="147" spans="1:7" ht="15.75" hidden="1" customHeight="1" thickBot="1">
      <c r="D147" s="55" t="s">
        <v>1100</v>
      </c>
      <c r="E147" s="49">
        <v>0</v>
      </c>
      <c r="F147" s="470"/>
      <c r="G147" s="470"/>
    </row>
    <row r="148" spans="1:7" ht="15.75" hidden="1" customHeight="1" thickBot="1">
      <c r="F148" s="470"/>
      <c r="G148" s="470"/>
    </row>
    <row r="149" spans="1:7" ht="15.75" hidden="1" customHeight="1">
      <c r="D149" s="54" t="s">
        <v>1787</v>
      </c>
      <c r="E149" s="53" t="s">
        <v>1781</v>
      </c>
      <c r="F149" s="470"/>
      <c r="G149" s="470"/>
    </row>
    <row r="150" spans="1:7" ht="15.75" hidden="1" customHeight="1">
      <c r="D150" s="52" t="s">
        <v>1079</v>
      </c>
      <c r="E150" s="51">
        <v>0</v>
      </c>
      <c r="F150" s="470"/>
      <c r="G150" s="470"/>
    </row>
    <row r="151" spans="1:7" ht="15.75" hidden="1" customHeight="1" thickBot="1">
      <c r="D151" s="50" t="s">
        <v>1081</v>
      </c>
      <c r="E151" s="49">
        <v>-1</v>
      </c>
      <c r="F151" s="470"/>
      <c r="G151" s="470"/>
    </row>
    <row r="152" spans="1:7" ht="15.75" hidden="1" customHeight="1" thickBot="1">
      <c r="F152" s="470"/>
      <c r="G152" s="470"/>
    </row>
    <row r="153" spans="1:7" ht="15.75" hidden="1" customHeight="1">
      <c r="D153" s="48" t="s">
        <v>1788</v>
      </c>
      <c r="F153" s="470"/>
      <c r="G153" s="470"/>
    </row>
    <row r="154" spans="1:7" ht="15.75" hidden="1" customHeight="1">
      <c r="D154" s="47" t="s">
        <v>1078</v>
      </c>
      <c r="F154" s="470"/>
      <c r="G154" s="470"/>
    </row>
    <row r="155" spans="1:7" ht="15.75" hidden="1" customHeight="1" thickBot="1">
      <c r="D155" s="46" t="s">
        <v>1079</v>
      </c>
      <c r="F155" s="470"/>
      <c r="G155" s="470"/>
    </row>
    <row r="156" spans="1:7" ht="15.75" hidden="1" customHeight="1">
      <c r="F156" s="470"/>
      <c r="G156" s="470"/>
    </row>
    <row r="157" spans="1:7" ht="15.75" hidden="1" customHeight="1">
      <c r="F157" s="470"/>
      <c r="G157" s="470"/>
    </row>
    <row r="158" spans="1:7" ht="15.75" hidden="1" customHeight="1">
      <c r="F158" s="470"/>
      <c r="G158" s="470"/>
    </row>
    <row r="159" spans="1:7" ht="15.75" hidden="1" customHeight="1">
      <c r="A159" s="1582" t="s">
        <v>1789</v>
      </c>
      <c r="B159" s="1582"/>
      <c r="C159" s="1582"/>
      <c r="D159" s="1582"/>
      <c r="E159" s="1582"/>
      <c r="F159" s="470"/>
      <c r="G159" s="470"/>
    </row>
    <row r="160" spans="1:7" ht="15.75" hidden="1" customHeight="1">
      <c r="F160" s="470"/>
      <c r="G160" s="470"/>
    </row>
    <row r="161" spans="1:7" ht="15.75" hidden="1" customHeight="1">
      <c r="F161" s="470"/>
      <c r="G161" s="470"/>
    </row>
    <row r="162" spans="1:7" ht="15.75" hidden="1" customHeight="1" thickBot="1">
      <c r="F162" s="470"/>
      <c r="G162" s="470"/>
    </row>
    <row r="163" spans="1:7" ht="15.75" hidden="1" customHeight="1" thickBot="1">
      <c r="A163" s="1605" t="s">
        <v>1790</v>
      </c>
      <c r="B163" s="1606"/>
      <c r="C163" s="1607"/>
      <c r="F163" s="470"/>
      <c r="G163" s="470"/>
    </row>
    <row r="164" spans="1:7" ht="15.75" hidden="1" customHeight="1" thickBot="1">
      <c r="A164" s="35" t="s">
        <v>1791</v>
      </c>
      <c r="B164" s="34" t="s">
        <v>1797</v>
      </c>
      <c r="C164" s="45" t="s">
        <v>1792</v>
      </c>
      <c r="F164" s="470"/>
      <c r="G164" s="470"/>
    </row>
    <row r="165" spans="1:7" ht="15.75" hidden="1" customHeight="1">
      <c r="A165" s="27">
        <v>-20</v>
      </c>
      <c r="B165" s="32" t="s">
        <v>1793</v>
      </c>
      <c r="C165" s="44" t="s">
        <v>1796</v>
      </c>
      <c r="F165" s="470"/>
      <c r="G165" s="470"/>
    </row>
    <row r="166" spans="1:7" ht="15.75" hidden="1" customHeight="1">
      <c r="A166" s="16">
        <v>0</v>
      </c>
      <c r="B166" s="31" t="s">
        <v>1794</v>
      </c>
      <c r="C166" s="44">
        <v>0</v>
      </c>
      <c r="F166" s="470"/>
      <c r="G166" s="470"/>
    </row>
    <row r="167" spans="1:7" ht="15.75" hidden="1" customHeight="1" thickBot="1">
      <c r="A167" s="13">
        <v>1</v>
      </c>
      <c r="B167" s="29" t="s">
        <v>1795</v>
      </c>
      <c r="C167" s="43">
        <v>2</v>
      </c>
      <c r="F167" s="470"/>
      <c r="G167" s="470"/>
    </row>
    <row r="168" spans="1:7" ht="15.75" hidden="1" customHeight="1">
      <c r="A168" s="339"/>
      <c r="B168" s="42"/>
      <c r="C168" s="41"/>
      <c r="F168" s="470"/>
      <c r="G168" s="470"/>
    </row>
    <row r="169" spans="1:7" ht="15.75" hidden="1" customHeight="1">
      <c r="F169" s="470"/>
      <c r="G169" s="470"/>
    </row>
    <row r="170" spans="1:7" ht="15.75" hidden="1" customHeight="1" thickBot="1">
      <c r="F170" s="470"/>
      <c r="G170" s="470"/>
    </row>
    <row r="171" spans="1:7" ht="15.75" hidden="1" customHeight="1" thickBot="1">
      <c r="A171" s="1605" t="s">
        <v>1798</v>
      </c>
      <c r="B171" s="1606"/>
      <c r="C171" s="1607"/>
      <c r="F171" s="470"/>
      <c r="G171" s="470"/>
    </row>
    <row r="172" spans="1:7" ht="15.75" hidden="1" customHeight="1" thickBot="1">
      <c r="A172" s="22" t="s">
        <v>1791</v>
      </c>
      <c r="B172" s="21" t="s">
        <v>1799</v>
      </c>
      <c r="C172" s="20" t="s">
        <v>1800</v>
      </c>
      <c r="F172" s="470"/>
      <c r="G172" s="470"/>
    </row>
    <row r="173" spans="1:7" ht="15.75" hidden="1" customHeight="1">
      <c r="A173" s="27">
        <v>0</v>
      </c>
      <c r="B173" s="26" t="s">
        <v>17</v>
      </c>
      <c r="C173" s="25">
        <v>0</v>
      </c>
      <c r="F173" s="470"/>
      <c r="G173" s="470"/>
    </row>
    <row r="174" spans="1:7" ht="15.75" hidden="1" customHeight="1">
      <c r="A174" s="27">
        <v>75</v>
      </c>
      <c r="B174" s="26" t="s">
        <v>16</v>
      </c>
      <c r="C174" s="25">
        <v>0.5</v>
      </c>
      <c r="F174" s="470"/>
      <c r="G174" s="470"/>
    </row>
    <row r="175" spans="1:7" ht="15.75" hidden="1" customHeight="1">
      <c r="A175" s="16">
        <v>150</v>
      </c>
      <c r="B175" s="24" t="s">
        <v>15</v>
      </c>
      <c r="C175" s="14">
        <v>1</v>
      </c>
      <c r="F175" s="470"/>
      <c r="G175" s="470"/>
    </row>
    <row r="176" spans="1:7" ht="15.75" hidden="1" customHeight="1">
      <c r="A176" s="16">
        <v>225</v>
      </c>
      <c r="B176" s="24" t="s">
        <v>14</v>
      </c>
      <c r="C176" s="14">
        <v>1.5</v>
      </c>
      <c r="F176" s="470"/>
      <c r="G176" s="470"/>
    </row>
    <row r="177" spans="1:7" ht="15.75" hidden="1" customHeight="1">
      <c r="A177" s="16">
        <v>300</v>
      </c>
      <c r="B177" s="24" t="s">
        <v>13</v>
      </c>
      <c r="C177" s="14">
        <v>2</v>
      </c>
      <c r="F177" s="470"/>
      <c r="G177" s="470"/>
    </row>
    <row r="178" spans="1:7" ht="15.75" hidden="1" customHeight="1">
      <c r="A178" s="16">
        <v>375</v>
      </c>
      <c r="B178" s="24" t="s">
        <v>12</v>
      </c>
      <c r="C178" s="14">
        <v>2.5</v>
      </c>
      <c r="F178" s="470"/>
      <c r="G178" s="470"/>
    </row>
    <row r="179" spans="1:7" ht="15.75" hidden="1" customHeight="1">
      <c r="A179" s="16">
        <v>450</v>
      </c>
      <c r="B179" s="24" t="s">
        <v>11</v>
      </c>
      <c r="C179" s="14">
        <v>3</v>
      </c>
      <c r="F179" s="470"/>
      <c r="G179" s="470"/>
    </row>
    <row r="180" spans="1:7" ht="15.75" hidden="1" customHeight="1">
      <c r="A180" s="40">
        <v>525</v>
      </c>
      <c r="B180" s="39" t="s">
        <v>10</v>
      </c>
      <c r="C180" s="38">
        <v>3.5</v>
      </c>
      <c r="F180" s="470"/>
      <c r="G180" s="470"/>
    </row>
    <row r="181" spans="1:7" ht="15.75" hidden="1" customHeight="1" thickBot="1">
      <c r="A181" s="13">
        <v>600</v>
      </c>
      <c r="B181" s="23" t="s">
        <v>9</v>
      </c>
      <c r="C181" s="11">
        <v>4</v>
      </c>
      <c r="F181" s="470"/>
      <c r="G181" s="470"/>
    </row>
    <row r="182" spans="1:7" ht="15.75" hidden="1" customHeight="1">
      <c r="F182" s="470"/>
      <c r="G182" s="470"/>
    </row>
    <row r="183" spans="1:7" ht="15.75" hidden="1" customHeight="1">
      <c r="F183" s="470"/>
      <c r="G183" s="470"/>
    </row>
    <row r="184" spans="1:7" ht="15.75" hidden="1" customHeight="1" thickBot="1">
      <c r="F184" s="470"/>
      <c r="G184" s="470"/>
    </row>
    <row r="185" spans="1:7" ht="15.75" hidden="1" customHeight="1" thickBot="1">
      <c r="A185" s="1540" t="s">
        <v>1801</v>
      </c>
      <c r="B185" s="1541"/>
      <c r="C185" s="1542"/>
      <c r="F185" s="470"/>
      <c r="G185" s="470"/>
    </row>
    <row r="186" spans="1:7" ht="15.75" hidden="1" customHeight="1" thickBot="1">
      <c r="A186" s="22" t="s">
        <v>1791</v>
      </c>
      <c r="B186" s="21" t="s">
        <v>1802</v>
      </c>
      <c r="C186" s="20" t="s">
        <v>1800</v>
      </c>
      <c r="F186" s="470"/>
      <c r="G186" s="470"/>
    </row>
    <row r="187" spans="1:7" ht="15.75" hidden="1" customHeight="1">
      <c r="A187" s="27">
        <v>0</v>
      </c>
      <c r="B187" s="26" t="s">
        <v>8</v>
      </c>
      <c r="C187" s="25">
        <v>0</v>
      </c>
      <c r="F187" s="470"/>
      <c r="G187" s="470"/>
    </row>
    <row r="188" spans="1:7" ht="15.75" hidden="1" customHeight="1">
      <c r="A188" s="16">
        <v>2.1</v>
      </c>
      <c r="B188" s="24" t="s">
        <v>7</v>
      </c>
      <c r="C188" s="14">
        <v>1</v>
      </c>
      <c r="F188" s="470"/>
      <c r="G188" s="470"/>
    </row>
    <row r="189" spans="1:7" ht="15.75" hidden="1" customHeight="1">
      <c r="A189" s="16">
        <v>4</v>
      </c>
      <c r="B189" s="24" t="s">
        <v>6</v>
      </c>
      <c r="C189" s="14">
        <v>2</v>
      </c>
      <c r="F189" s="470"/>
      <c r="G189" s="470"/>
    </row>
    <row r="190" spans="1:7" ht="15.75" hidden="1" customHeight="1">
      <c r="A190" s="16">
        <v>6</v>
      </c>
      <c r="B190" s="24" t="s">
        <v>5</v>
      </c>
      <c r="C190" s="14">
        <v>3</v>
      </c>
      <c r="F190" s="470"/>
      <c r="G190" s="470"/>
    </row>
    <row r="191" spans="1:7" ht="15.75" hidden="1" customHeight="1" thickBot="1">
      <c r="A191" s="13">
        <v>8</v>
      </c>
      <c r="B191" s="23" t="s">
        <v>4</v>
      </c>
      <c r="C191" s="11">
        <v>4</v>
      </c>
      <c r="F191" s="470"/>
      <c r="G191" s="470"/>
    </row>
    <row r="192" spans="1:7" ht="15.75" hidden="1" customHeight="1">
      <c r="A192" s="339"/>
      <c r="B192" s="37"/>
      <c r="C192" s="36"/>
      <c r="F192" s="470"/>
      <c r="G192" s="470"/>
    </row>
    <row r="193" spans="1:7" ht="15.75" hidden="1" customHeight="1">
      <c r="A193" s="339"/>
      <c r="B193" s="37"/>
      <c r="C193" s="36"/>
      <c r="F193" s="470"/>
      <c r="G193" s="470"/>
    </row>
    <row r="194" spans="1:7" ht="15.75" hidden="1" customHeight="1" thickBot="1">
      <c r="F194" s="470"/>
      <c r="G194" s="470"/>
    </row>
    <row r="195" spans="1:7" ht="15.75" hidden="1" customHeight="1" thickBot="1">
      <c r="A195" s="1540" t="s">
        <v>1803</v>
      </c>
      <c r="B195" s="1541"/>
      <c r="C195" s="1542"/>
      <c r="F195" s="470"/>
      <c r="G195" s="470"/>
    </row>
    <row r="196" spans="1:7" ht="15.75" hidden="1" customHeight="1" thickBot="1">
      <c r="A196" s="35" t="s">
        <v>1791</v>
      </c>
      <c r="B196" s="34" t="s">
        <v>1804</v>
      </c>
      <c r="C196" s="33" t="s">
        <v>1805</v>
      </c>
      <c r="F196" s="470"/>
      <c r="G196" s="470"/>
    </row>
    <row r="197" spans="1:7" ht="15.75" hidden="1" customHeight="1">
      <c r="A197" s="27">
        <v>-20</v>
      </c>
      <c r="B197" s="32" t="s">
        <v>1806</v>
      </c>
      <c r="C197" s="30" t="s">
        <v>1809</v>
      </c>
      <c r="F197" s="470"/>
      <c r="G197" s="470"/>
    </row>
    <row r="198" spans="1:7" ht="15.75" hidden="1" customHeight="1">
      <c r="A198" s="16">
        <v>0</v>
      </c>
      <c r="B198" s="31" t="s">
        <v>1807</v>
      </c>
      <c r="C198" s="30" t="s">
        <v>1810</v>
      </c>
      <c r="F198" s="470"/>
      <c r="G198" s="470"/>
    </row>
    <row r="199" spans="1:7" ht="15.75" hidden="1" customHeight="1" thickBot="1">
      <c r="A199" s="13">
        <v>1</v>
      </c>
      <c r="B199" s="29" t="s">
        <v>1808</v>
      </c>
      <c r="C199" s="28" t="s">
        <v>1811</v>
      </c>
      <c r="F199" s="470"/>
      <c r="G199" s="470"/>
    </row>
    <row r="200" spans="1:7" ht="15.75" hidden="1" customHeight="1">
      <c r="F200" s="470"/>
      <c r="G200" s="470"/>
    </row>
    <row r="201" spans="1:7" ht="15.75" hidden="1" customHeight="1">
      <c r="F201" s="470"/>
      <c r="G201" s="470"/>
    </row>
    <row r="202" spans="1:7" ht="15.75" hidden="1" customHeight="1" thickBot="1">
      <c r="F202" s="470"/>
      <c r="G202" s="470"/>
    </row>
    <row r="203" spans="1:7" ht="15.75" hidden="1" customHeight="1" thickBot="1">
      <c r="A203" s="1605" t="s">
        <v>1812</v>
      </c>
      <c r="B203" s="1606"/>
      <c r="C203" s="1607"/>
      <c r="F203" s="470"/>
      <c r="G203" s="470"/>
    </row>
    <row r="204" spans="1:7" ht="15.75" hidden="1" customHeight="1" thickBot="1">
      <c r="A204" s="22" t="s">
        <v>1791</v>
      </c>
      <c r="B204" s="21" t="s">
        <v>1813</v>
      </c>
      <c r="C204" s="20" t="s">
        <v>1800</v>
      </c>
      <c r="F204" s="470"/>
      <c r="G204" s="470"/>
    </row>
    <row r="205" spans="1:7" ht="15.75" hidden="1" customHeight="1">
      <c r="A205" s="27">
        <v>0</v>
      </c>
      <c r="B205" s="26" t="s">
        <v>3</v>
      </c>
      <c r="C205" s="25">
        <v>0</v>
      </c>
      <c r="F205" s="470"/>
      <c r="G205" s="470"/>
    </row>
    <row r="206" spans="1:7" ht="15.75" hidden="1" customHeight="1">
      <c r="A206" s="16">
        <v>1</v>
      </c>
      <c r="B206" s="24" t="s">
        <v>2</v>
      </c>
      <c r="C206" s="14">
        <v>1</v>
      </c>
      <c r="F206" s="470"/>
      <c r="G206" s="470"/>
    </row>
    <row r="207" spans="1:7" ht="15.75" hidden="1" customHeight="1">
      <c r="A207" s="16">
        <v>2</v>
      </c>
      <c r="B207" s="24" t="s">
        <v>1</v>
      </c>
      <c r="C207" s="14">
        <v>2</v>
      </c>
      <c r="F207" s="470"/>
      <c r="G207" s="470"/>
    </row>
    <row r="208" spans="1:7" ht="15.75" hidden="1" customHeight="1">
      <c r="A208" s="16">
        <v>3</v>
      </c>
      <c r="B208" s="24" t="s">
        <v>0</v>
      </c>
      <c r="C208" s="14">
        <v>3</v>
      </c>
      <c r="F208" s="470"/>
      <c r="G208" s="470"/>
    </row>
    <row r="209" spans="1:7" ht="15.75" hidden="1" customHeight="1" thickBot="1">
      <c r="A209" s="13">
        <v>4</v>
      </c>
      <c r="B209" s="23" t="s">
        <v>1814</v>
      </c>
      <c r="C209" s="11">
        <v>4</v>
      </c>
      <c r="F209" s="470"/>
      <c r="G209" s="470"/>
    </row>
    <row r="210" spans="1:7" ht="15.75" hidden="1" customHeight="1">
      <c r="F210" s="470"/>
      <c r="G210" s="470"/>
    </row>
    <row r="211" spans="1:7" ht="15.75" hidden="1" customHeight="1">
      <c r="F211" s="470"/>
      <c r="G211" s="470"/>
    </row>
    <row r="212" spans="1:7" ht="15.75" hidden="1" customHeight="1" thickBot="1">
      <c r="F212" s="470"/>
      <c r="G212" s="470"/>
    </row>
    <row r="213" spans="1:7" ht="15.75" hidden="1" customHeight="1" thickBot="1">
      <c r="A213" s="1540" t="s">
        <v>1815</v>
      </c>
      <c r="B213" s="1541"/>
      <c r="C213" s="1542"/>
      <c r="F213" s="470"/>
      <c r="G213" s="470"/>
    </row>
    <row r="214" spans="1:7" ht="15.75" hidden="1" customHeight="1" thickBot="1">
      <c r="A214" s="22" t="s">
        <v>1791</v>
      </c>
      <c r="B214" s="21" t="s">
        <v>1816</v>
      </c>
      <c r="C214" s="20" t="s">
        <v>1800</v>
      </c>
      <c r="F214" s="470"/>
      <c r="G214" s="470"/>
    </row>
    <row r="215" spans="1:7" ht="15.75" hidden="1" customHeight="1">
      <c r="A215" s="27">
        <v>0</v>
      </c>
      <c r="B215" s="26" t="s">
        <v>3</v>
      </c>
      <c r="C215" s="25">
        <v>0</v>
      </c>
      <c r="F215" s="470"/>
      <c r="G215" s="470"/>
    </row>
    <row r="216" spans="1:7" ht="15.75" hidden="1" customHeight="1">
      <c r="A216" s="16">
        <v>1</v>
      </c>
      <c r="B216" s="24" t="s">
        <v>2</v>
      </c>
      <c r="C216" s="14">
        <v>1</v>
      </c>
      <c r="F216" s="470"/>
      <c r="G216" s="470"/>
    </row>
    <row r="217" spans="1:7" ht="15.75" hidden="1" customHeight="1">
      <c r="A217" s="16">
        <v>2</v>
      </c>
      <c r="B217" s="24" t="s">
        <v>1</v>
      </c>
      <c r="C217" s="14">
        <v>2</v>
      </c>
      <c r="F217" s="470"/>
      <c r="G217" s="470"/>
    </row>
    <row r="218" spans="1:7" ht="15.75" hidden="1" customHeight="1">
      <c r="A218" s="16">
        <v>3</v>
      </c>
      <c r="B218" s="24" t="s">
        <v>0</v>
      </c>
      <c r="C218" s="14">
        <v>3</v>
      </c>
      <c r="F218" s="470"/>
      <c r="G218" s="470"/>
    </row>
    <row r="219" spans="1:7" ht="15.75" hidden="1" customHeight="1" thickBot="1">
      <c r="A219" s="13">
        <v>4</v>
      </c>
      <c r="B219" s="23" t="s">
        <v>1814</v>
      </c>
      <c r="C219" s="11">
        <v>4</v>
      </c>
      <c r="F219" s="470"/>
      <c r="G219" s="470"/>
    </row>
    <row r="220" spans="1:7" ht="15.75" hidden="1" customHeight="1">
      <c r="F220" s="470"/>
      <c r="G220" s="470"/>
    </row>
    <row r="221" spans="1:7" ht="15.75" hidden="1" customHeight="1">
      <c r="F221" s="470"/>
      <c r="G221" s="470"/>
    </row>
    <row r="222" spans="1:7" ht="15.75" hidden="1" customHeight="1" thickBot="1">
      <c r="F222" s="470"/>
      <c r="G222" s="470"/>
    </row>
    <row r="223" spans="1:7" ht="15.75" hidden="1" customHeight="1" thickBot="1">
      <c r="A223" s="1605" t="s">
        <v>1817</v>
      </c>
      <c r="B223" s="1606"/>
      <c r="C223" s="1607"/>
      <c r="F223" s="470"/>
      <c r="G223" s="470"/>
    </row>
    <row r="224" spans="1:7" ht="15.75" hidden="1" customHeight="1" thickBot="1">
      <c r="A224" s="22" t="s">
        <v>1791</v>
      </c>
      <c r="B224" s="21" t="s">
        <v>1805</v>
      </c>
      <c r="C224" s="20" t="s">
        <v>1800</v>
      </c>
      <c r="F224" s="470"/>
      <c r="G224" s="470"/>
    </row>
    <row r="225" spans="1:7" ht="15.75" hidden="1" customHeight="1">
      <c r="A225" s="19">
        <v>-20</v>
      </c>
      <c r="B225" s="18" t="s">
        <v>1818</v>
      </c>
      <c r="C225" s="17" t="e">
        <f>IF(H92&lt;3,H92,2)</f>
        <v>#DIV/0!</v>
      </c>
      <c r="F225" s="470"/>
      <c r="G225" s="470"/>
    </row>
    <row r="226" spans="1:7" ht="15.75" hidden="1" customHeight="1">
      <c r="A226" s="16">
        <v>0</v>
      </c>
      <c r="B226" s="15" t="s">
        <v>1819</v>
      </c>
      <c r="C226" s="14" t="e">
        <f>H92</f>
        <v>#DIV/0!</v>
      </c>
      <c r="F226" s="470"/>
      <c r="G226" s="470"/>
    </row>
    <row r="227" spans="1:7" ht="15.75" hidden="1" customHeight="1" thickBot="1">
      <c r="A227" s="13">
        <v>1</v>
      </c>
      <c r="B227" s="12" t="s">
        <v>1820</v>
      </c>
      <c r="C227" s="11">
        <f>F5</f>
        <v>0</v>
      </c>
      <c r="F227" s="470"/>
      <c r="G227" s="470"/>
    </row>
    <row r="228" spans="1:7" ht="15.75" hidden="1" customHeight="1">
      <c r="F228" s="470"/>
      <c r="G228" s="470"/>
    </row>
    <row r="229" spans="1:7" ht="15.75" hidden="1" customHeight="1">
      <c r="F229" s="470"/>
      <c r="G229" s="470"/>
    </row>
    <row r="230" spans="1:7" ht="15.75" hidden="1" customHeight="1">
      <c r="F230" s="470"/>
      <c r="G230" s="470"/>
    </row>
    <row r="231" spans="1:7" ht="15.75" hidden="1" customHeight="1">
      <c r="F231" s="470"/>
      <c r="G231" s="470"/>
    </row>
    <row r="232" spans="1:7" ht="15.75" hidden="1" customHeight="1">
      <c r="A232" s="1582" t="s">
        <v>1821</v>
      </c>
      <c r="B232" s="1582"/>
      <c r="C232" s="1582"/>
      <c r="D232" s="1582"/>
      <c r="E232" s="1582"/>
      <c r="F232" s="472"/>
      <c r="G232" s="472"/>
    </row>
    <row r="233" spans="1:7" ht="15.75" hidden="1" customHeight="1">
      <c r="F233" s="470"/>
      <c r="G233" s="470"/>
    </row>
    <row r="234" spans="1:7" ht="15.75" hidden="1" customHeight="1" thickBot="1">
      <c r="F234" s="470"/>
      <c r="G234" s="470"/>
    </row>
    <row r="235" spans="1:7" ht="15.75" hidden="1" customHeight="1">
      <c r="B235" s="1601" t="s">
        <v>1043</v>
      </c>
      <c r="C235" s="1602"/>
      <c r="D235" s="9" t="s">
        <v>1822</v>
      </c>
      <c r="E235" s="8" t="s">
        <v>1823</v>
      </c>
      <c r="F235" s="470"/>
      <c r="G235" s="470"/>
    </row>
    <row r="236" spans="1:7" ht="15.75" hidden="1" customHeight="1">
      <c r="B236" s="1603" t="s">
        <v>1824</v>
      </c>
      <c r="C236" s="1604"/>
      <c r="D236" s="340" t="s">
        <v>1840</v>
      </c>
      <c r="E236" s="7">
        <v>1</v>
      </c>
      <c r="F236" s="470"/>
      <c r="G236" s="470"/>
    </row>
    <row r="237" spans="1:7" ht="15.75" hidden="1" customHeight="1">
      <c r="B237" s="1589" t="s">
        <v>1825</v>
      </c>
      <c r="C237" s="1590"/>
      <c r="D237" s="340" t="s">
        <v>1841</v>
      </c>
      <c r="E237" s="7">
        <v>2</v>
      </c>
      <c r="F237" s="470"/>
      <c r="G237" s="470"/>
    </row>
    <row r="238" spans="1:7" ht="15.75" hidden="1" customHeight="1">
      <c r="B238" s="1589" t="s">
        <v>1826</v>
      </c>
      <c r="C238" s="1590"/>
      <c r="D238" s="340" t="s">
        <v>1842</v>
      </c>
      <c r="E238" s="7">
        <v>3</v>
      </c>
      <c r="F238" s="470"/>
      <c r="G238" s="470"/>
    </row>
    <row r="239" spans="1:7" ht="15.75" hidden="1" customHeight="1">
      <c r="B239" s="1589" t="s">
        <v>1827</v>
      </c>
      <c r="C239" s="1590"/>
      <c r="D239" s="340" t="s">
        <v>1843</v>
      </c>
      <c r="E239" s="7">
        <v>4</v>
      </c>
      <c r="F239" s="470"/>
      <c r="G239" s="470"/>
    </row>
    <row r="240" spans="1:7" ht="15.75" hidden="1" customHeight="1">
      <c r="B240" s="1589" t="s">
        <v>1828</v>
      </c>
      <c r="C240" s="1590"/>
      <c r="D240" s="340" t="s">
        <v>1844</v>
      </c>
      <c r="E240" s="7">
        <v>4</v>
      </c>
      <c r="F240" s="470"/>
      <c r="G240" s="470"/>
    </row>
    <row r="241" spans="2:7" ht="15.75" hidden="1" customHeight="1">
      <c r="B241" s="1589" t="s">
        <v>1829</v>
      </c>
      <c r="C241" s="1590"/>
      <c r="D241" s="340" t="s">
        <v>1845</v>
      </c>
      <c r="E241" s="7">
        <v>2</v>
      </c>
      <c r="F241" s="470"/>
      <c r="G241" s="470"/>
    </row>
    <row r="242" spans="2:7" ht="15.75" hidden="1" customHeight="1">
      <c r="B242" s="1589" t="s">
        <v>1830</v>
      </c>
      <c r="C242" s="1590"/>
      <c r="D242" s="340" t="s">
        <v>1846</v>
      </c>
      <c r="E242" s="7">
        <v>6</v>
      </c>
      <c r="F242" s="470"/>
      <c r="G242" s="470"/>
    </row>
    <row r="243" spans="2:7" ht="15.75" hidden="1" customHeight="1">
      <c r="B243" s="1589" t="s">
        <v>1831</v>
      </c>
      <c r="C243" s="1590"/>
      <c r="D243" s="340" t="s">
        <v>1847</v>
      </c>
      <c r="E243" s="7">
        <v>4</v>
      </c>
      <c r="F243" s="470"/>
      <c r="G243" s="470"/>
    </row>
    <row r="244" spans="2:7" ht="15.75" hidden="1" customHeight="1">
      <c r="B244" s="1589" t="s">
        <v>1832</v>
      </c>
      <c r="C244" s="1590"/>
      <c r="D244" s="340" t="s">
        <v>1848</v>
      </c>
      <c r="E244" s="7">
        <v>6</v>
      </c>
      <c r="F244" s="470"/>
      <c r="G244" s="470"/>
    </row>
    <row r="245" spans="2:7" ht="15.75" hidden="1" customHeight="1">
      <c r="B245" s="1589" t="s">
        <v>1833</v>
      </c>
      <c r="C245" s="1590"/>
      <c r="D245" s="340" t="s">
        <v>1849</v>
      </c>
      <c r="E245" s="7">
        <v>4</v>
      </c>
      <c r="F245" s="470"/>
      <c r="G245" s="470"/>
    </row>
    <row r="246" spans="2:7" ht="15.75" hidden="1" customHeight="1">
      <c r="B246" s="1589" t="s">
        <v>1834</v>
      </c>
      <c r="C246" s="1590"/>
      <c r="D246" s="340" t="s">
        <v>1850</v>
      </c>
      <c r="E246" s="7">
        <v>2</v>
      </c>
      <c r="F246" s="470"/>
      <c r="G246" s="470"/>
    </row>
    <row r="247" spans="2:7" ht="15.75" hidden="1" customHeight="1">
      <c r="B247" s="1591" t="s">
        <v>1835</v>
      </c>
      <c r="C247" s="1592"/>
      <c r="D247" s="340" t="s">
        <v>1851</v>
      </c>
      <c r="E247" s="7">
        <v>6</v>
      </c>
      <c r="F247" s="470"/>
      <c r="G247" s="470"/>
    </row>
    <row r="248" spans="2:7" ht="15.75" hidden="1" customHeight="1">
      <c r="B248" s="1589" t="s">
        <v>1852</v>
      </c>
      <c r="C248" s="1590"/>
      <c r="D248" s="340" t="s">
        <v>1854</v>
      </c>
      <c r="E248" s="7">
        <v>14</v>
      </c>
      <c r="F248" s="470"/>
      <c r="G248" s="470"/>
    </row>
    <row r="249" spans="2:7" ht="15.75" hidden="1" customHeight="1">
      <c r="B249" s="1589" t="s">
        <v>1853</v>
      </c>
      <c r="C249" s="1590"/>
      <c r="D249" s="340" t="s">
        <v>1855</v>
      </c>
      <c r="E249" s="7">
        <v>1</v>
      </c>
      <c r="F249" s="470"/>
      <c r="G249" s="470"/>
    </row>
    <row r="250" spans="2:7" ht="15.75" hidden="1" customHeight="1">
      <c r="B250" s="1589" t="s">
        <v>1836</v>
      </c>
      <c r="C250" s="1590"/>
      <c r="D250" s="340" t="s">
        <v>1856</v>
      </c>
      <c r="E250" s="7">
        <v>4</v>
      </c>
      <c r="F250" s="470"/>
      <c r="G250" s="470"/>
    </row>
    <row r="251" spans="2:7" ht="15.75" hidden="1" customHeight="1">
      <c r="B251" s="1589" t="s">
        <v>1837</v>
      </c>
      <c r="C251" s="1590"/>
      <c r="D251" s="340" t="s">
        <v>1857</v>
      </c>
      <c r="E251" s="7">
        <v>10</v>
      </c>
      <c r="F251" s="470"/>
      <c r="G251" s="470"/>
    </row>
    <row r="252" spans="2:7" ht="15.75" hidden="1" customHeight="1">
      <c r="B252" s="1593" t="s">
        <v>1838</v>
      </c>
      <c r="C252" s="1594"/>
      <c r="D252" s="340" t="s">
        <v>1858</v>
      </c>
      <c r="E252" s="6">
        <v>3</v>
      </c>
      <c r="F252" s="470"/>
      <c r="G252" s="470"/>
    </row>
    <row r="253" spans="2:7" ht="15.75" hidden="1" customHeight="1" thickBot="1">
      <c r="B253" s="1587" t="s">
        <v>1839</v>
      </c>
      <c r="C253" s="1588"/>
      <c r="D253" s="5" t="s">
        <v>1859</v>
      </c>
      <c r="E253" s="4">
        <v>4</v>
      </c>
      <c r="F253" s="470"/>
      <c r="G253" s="470"/>
    </row>
    <row r="254" spans="2:7" ht="15.75" hidden="1" customHeight="1">
      <c r="B254" s="3"/>
      <c r="C254" s="3"/>
      <c r="D254" s="3"/>
      <c r="F254" s="470"/>
      <c r="G254" s="470"/>
    </row>
    <row r="255" spans="2:7" ht="15.75" hidden="1" customHeight="1">
      <c r="F255" s="470"/>
      <c r="G255" s="470"/>
    </row>
    <row r="256" spans="2:7" ht="15.75" hidden="1" customHeight="1">
      <c r="F256" s="470"/>
      <c r="G256" s="470"/>
    </row>
    <row r="257" spans="6:7" ht="15.75" hidden="1" customHeight="1">
      <c r="F257" s="470"/>
      <c r="G257" s="470"/>
    </row>
    <row r="258" spans="6:7" ht="15.75" hidden="1" customHeight="1">
      <c r="F258" s="470"/>
      <c r="G258" s="470"/>
    </row>
    <row r="259" spans="6:7" ht="15.75" hidden="1" customHeight="1">
      <c r="F259" s="470"/>
      <c r="G259" s="470"/>
    </row>
    <row r="260" spans="6:7" ht="15.75" customHeight="1"/>
    <row r="261" spans="6:7" ht="15.75" customHeight="1"/>
  </sheetData>
  <mergeCells count="74">
    <mergeCell ref="D104:E104"/>
    <mergeCell ref="D105:E105"/>
    <mergeCell ref="D102:E102"/>
    <mergeCell ref="B242:C242"/>
    <mergeCell ref="B243:C243"/>
    <mergeCell ref="B235:C235"/>
    <mergeCell ref="B239:C239"/>
    <mergeCell ref="B236:C236"/>
    <mergeCell ref="A159:E159"/>
    <mergeCell ref="D103:E103"/>
    <mergeCell ref="A223:C223"/>
    <mergeCell ref="A163:C163"/>
    <mergeCell ref="A171:C171"/>
    <mergeCell ref="A185:C185"/>
    <mergeCell ref="A203:C203"/>
    <mergeCell ref="A195:C195"/>
    <mergeCell ref="B253:C253"/>
    <mergeCell ref="A232:E232"/>
    <mergeCell ref="B245:C245"/>
    <mergeCell ref="B246:C246"/>
    <mergeCell ref="B247:C247"/>
    <mergeCell ref="B248:C248"/>
    <mergeCell ref="B249:C249"/>
    <mergeCell ref="B240:C240"/>
    <mergeCell ref="B241:C241"/>
    <mergeCell ref="B250:C250"/>
    <mergeCell ref="B251:C251"/>
    <mergeCell ref="B244:C244"/>
    <mergeCell ref="B237:C237"/>
    <mergeCell ref="B238:C238"/>
    <mergeCell ref="B252:C252"/>
    <mergeCell ref="D69:D70"/>
    <mergeCell ref="B74:B80"/>
    <mergeCell ref="C74:C80"/>
    <mergeCell ref="D74:D78"/>
    <mergeCell ref="B68:B72"/>
    <mergeCell ref="C68:C72"/>
    <mergeCell ref="B84:B89"/>
    <mergeCell ref="C84:C89"/>
    <mergeCell ref="D84:D87"/>
    <mergeCell ref="B82:E82"/>
    <mergeCell ref="A100:E100"/>
    <mergeCell ref="G15:I15"/>
    <mergeCell ref="C56:C66"/>
    <mergeCell ref="D56:D60"/>
    <mergeCell ref="D61:D64"/>
    <mergeCell ref="D66:E66"/>
    <mergeCell ref="B15:D15"/>
    <mergeCell ref="E15:E16"/>
    <mergeCell ref="F15:F16"/>
    <mergeCell ref="B20:B25"/>
    <mergeCell ref="C20:C25"/>
    <mergeCell ref="B27:B29"/>
    <mergeCell ref="C27:C29"/>
    <mergeCell ref="B33:B54"/>
    <mergeCell ref="C33:C54"/>
    <mergeCell ref="D33:D43"/>
    <mergeCell ref="D45:D48"/>
    <mergeCell ref="B9:E9"/>
    <mergeCell ref="A213:C213"/>
    <mergeCell ref="B2:F2"/>
    <mergeCell ref="B3:E3"/>
    <mergeCell ref="B4:E4"/>
    <mergeCell ref="B5:E5"/>
    <mergeCell ref="C92:E92"/>
    <mergeCell ref="D49:D50"/>
    <mergeCell ref="D51:D52"/>
    <mergeCell ref="B56:B66"/>
    <mergeCell ref="B18:E18"/>
    <mergeCell ref="B31:E31"/>
    <mergeCell ref="B10:E10"/>
    <mergeCell ref="B6:E6"/>
    <mergeCell ref="B7:E7"/>
    <mergeCell ref="B8:E8"/>
  </mergeCells>
  <conditionalFormatting sqref="F58:F59">
    <cfRule type="expression" dxfId="12" priority="14" stopIfTrue="1">
      <formula>IF(#REF!=1,TRUE,FALSE)</formula>
    </cfRule>
  </conditionalFormatting>
  <conditionalFormatting sqref="F57 F59">
    <cfRule type="expression" dxfId="11" priority="13" stopIfTrue="1">
      <formula>IF(#REF!=1,TRUE,FALSE)</formula>
    </cfRule>
  </conditionalFormatting>
  <conditionalFormatting sqref="F57:F58">
    <cfRule type="expression" dxfId="10" priority="12" stopIfTrue="1">
      <formula>IF(#REF!=1,TRUE,FALSE)</formula>
    </cfRule>
  </conditionalFormatting>
  <conditionalFormatting sqref="F63">
    <cfRule type="expression" dxfId="9" priority="11" stopIfTrue="1">
      <formula>IF(#REF!=1,TRUE,FALSE)</formula>
    </cfRule>
  </conditionalFormatting>
  <conditionalFormatting sqref="F62">
    <cfRule type="expression" dxfId="8" priority="10" stopIfTrue="1">
      <formula>IF(#REF!=1,TRUE,FALSE)</formula>
    </cfRule>
  </conditionalFormatting>
  <conditionalFormatting sqref="F62:F63">
    <cfRule type="expression" dxfId="7" priority="9" stopIfTrue="1">
      <formula>IF(#REF!=1,TRUE,FALSE)</formula>
    </cfRule>
  </conditionalFormatting>
  <conditionalFormatting sqref="F57:F59 F62:F63">
    <cfRule type="expression" dxfId="6" priority="8" stopIfTrue="1">
      <formula>IF(#REF!=1,TRUE,FALSE)</formula>
    </cfRule>
  </conditionalFormatting>
  <conditionalFormatting sqref="F58">
    <cfRule type="expression" dxfId="5" priority="6" stopIfTrue="1">
      <formula>IF(#REF!=1,TRUE,FALSE)</formula>
    </cfRule>
  </conditionalFormatting>
  <conditionalFormatting sqref="F59">
    <cfRule type="expression" dxfId="4" priority="5" stopIfTrue="1">
      <formula>IF(#REF!=1,TRUE,FALSE)</formula>
    </cfRule>
  </conditionalFormatting>
  <conditionalFormatting sqref="F62">
    <cfRule type="expression" dxfId="3" priority="4" stopIfTrue="1">
      <formula>IF(#REF!=1,TRUE,FALSE)</formula>
    </cfRule>
  </conditionalFormatting>
  <conditionalFormatting sqref="F62">
    <cfRule type="expression" dxfId="2" priority="3" stopIfTrue="1">
      <formula>IF(#REF!=1,TRUE,FALSE)</formula>
    </cfRule>
  </conditionalFormatting>
  <conditionalFormatting sqref="F63">
    <cfRule type="expression" dxfId="1" priority="2" stopIfTrue="1">
      <formula>IF(#REF!=1,TRUE,FALSE)</formula>
    </cfRule>
  </conditionalFormatting>
  <conditionalFormatting sqref="F63">
    <cfRule type="expression" dxfId="0" priority="1" stopIfTrue="1">
      <formula>IF(#REF!=1,TRUE,FALSE)</formula>
    </cfRule>
  </conditionalFormatting>
  <dataValidations xWindow="922" yWindow="554" count="32">
    <dataValidation allowBlank="1" showInputMessage="1" showErrorMessage="1" prompt="Nom-Adresse-Tél" sqref="F3"/>
    <dataValidation allowBlank="1" showInputMessage="1" showErrorMessage="1" prompt="JJ/MM/AAAA" sqref="F6 F4"/>
    <dataValidation type="whole" allowBlank="1" showInputMessage="1" showErrorMessage="1" error="Entrez une valeur entre 0 et 4" prompt="niveau 1, 2, 3 ou 4" sqref="F5">
      <formula1>0</formula1>
      <formula2>4</formula2>
    </dataValidation>
    <dataValidation type="decimal" operator="greaterThanOrEqual" allowBlank="1" showInputMessage="1" showErrorMessage="1" prompt="Introduiser la superficie totale en m²" sqref="F7">
      <formula1>0</formula1>
    </dataValidation>
    <dataValidation type="decimal" operator="greaterThanOrEqual" allowBlank="1" showInputMessage="1" showErrorMessage="1" prompt="Introduiser la superficie des bâtiments au sol en m²" sqref="F8:F9">
      <formula1>0</formula1>
    </dataValidation>
    <dataValidation type="list" allowBlank="1" showInputMessage="1" showErrorMessage="1" error="Choisissez une valeur dans le menu déroulant." prompt="Ce type d'aménagement est-il présent sur le site ?" sqref="F74:F78">
      <formula1>ChoixBinaire</formula1>
    </dataValidation>
    <dataValidation type="list" allowBlank="1" showInputMessage="1" showErrorMessage="1" error="Choisissez une valeur dans le menu déroulant." prompt="Combien d'actions de ce type ont été entreprises sur le site ?" sqref="F84:F87">
      <formula1>Collaboration</formula1>
    </dataValidation>
    <dataValidation type="list" allowBlank="1" showInputMessage="1" showErrorMessage="1" error="Choisissez une valeur dans le menu déroulant." prompt="Un inventaire des barrières physiques éventuelles a-t-il été réalisé sur le site ?" sqref="F69">
      <formula1>InventaireAP</formula1>
    </dataValidation>
    <dataValidation type="list" allowBlank="1" showInputMessage="1" showErrorMessage="1" error="Choisissez une valeur dans le menu déroulant." prompt="Un aménagement pour diminuer l'effet de barrière a-t-il été réalisé_x000a_ ?" sqref="F70">
      <formula1>ChoixBinaire</formula1>
    </dataValidation>
    <dataValidation type="list" allowBlank="1" showInputMessage="1" showErrorMessage="1" error="Choisissez une valeur dans le menu déroulant." prompt="Un relevé des plantes invasives a-t-il été réalisé sur le site ?" sqref="F68">
      <formula1>InventaireAP</formula1>
    </dataValidation>
    <dataValidation type="list" allowBlank="1" showInputMessage="1" showErrorMessage="1" error="Choisissez une valeur dans le menu déroulant." prompt="Sélectionnez la proportion des espaces verts faisant l'objet de ce type de gestion" sqref="F57:F59 F62:F63">
      <formula1>GestionEspaces</formula1>
    </dataValidation>
    <dataValidation type="list" allowBlank="1" showInputMessage="1" showErrorMessage="1" error="Choisissez une valeur dans le menu déroulant." prompt="Le site contient-il des pelouses ?" sqref="F56">
      <formula1>ChoixBinaireZR</formula1>
    </dataValidation>
    <dataValidation type="list" allowBlank="1" showInputMessage="1" showErrorMessage="1" error="Choisissez une valeur dans le menu déroulant." prompt="Le site contient-il des abords nécessitant un désherbage ?" sqref="F61">
      <formula1>ChoixBinaireZR</formula1>
    </dataValidation>
    <dataValidation type="whole" operator="greaterThanOrEqual" allowBlank="1" showInputMessage="1" showErrorMessage="1" prompt="Introduisez le nombre de biotopes de ce type présents sur le site" sqref="F52">
      <formula1>0</formula1>
    </dataValidation>
    <dataValidation type="decimal" operator="greaterThanOrEqual" allowBlank="1" showInputMessage="1" showErrorMessage="1" prompt="Introduisez la superficie du verger" sqref="F40">
      <formula1>0</formula1>
    </dataValidation>
    <dataValidation type="decimal" operator="greaterThanOrEqual" allowBlank="1" showInputMessage="1" showErrorMessage="1" prompt="Introduisez la longueur de l'alignement d'arbres (en mètre)" sqref="F37">
      <formula1>0</formula1>
    </dataValidation>
    <dataValidation type="decimal" operator="greaterThanOrEqual" allowBlank="1" showInputMessage="1" showErrorMessage="1" prompt="Introduisez la longueur de l'alignement d'arbres tétards" sqref="F38">
      <formula1>0</formula1>
    </dataValidation>
    <dataValidation type="list" showInputMessage="1" showErrorMessage="1" error="Choisissez une valeur dans le menu déroulant." prompt="Choisissez la proportion approximative d'espèces indigènes parmi l'ensemble des espèces d'arbres présentes sur la parcelle" sqref="F43">
      <formula1>Essences</formula1>
    </dataValidation>
    <dataValidation type="decimal" operator="greaterThanOrEqual" allowBlank="1" showInputMessage="1" showErrorMessage="1" prompt="Introduisez la longueur de la haie (en mètre)" sqref="F33:F36">
      <formula1>0</formula1>
    </dataValidation>
    <dataValidation type="list" allowBlank="1" showInputMessage="1" showErrorMessage="1" error="Choisissez une valeur dans le menu déroulant." prompt="Signalez la présence ou l'absence d'une réserve sur le site ou à moins de 100 mètres de celui-ci." sqref="F21:F23 F27">
      <formula1>ChoixBinaireZP</formula1>
    </dataValidation>
    <dataValidation type="list" allowBlank="1" showInputMessage="1" showErrorMessage="1" error="Choisissez une valeur dans le menu déroulant." prompt="Signalez la présence ou l'absence d'un site Natura 2000 sur le site ou à moins de 100 mètres de celui-ci." sqref="F20">
      <formula1>ChoixBinaireZP</formula1>
    </dataValidation>
    <dataValidation type="decimal" operator="greaterThanOrEqual" allowBlank="1" showInputMessage="1" showErrorMessage="1" prompt="Introduisez la superficie de la zone boisée" sqref="F41">
      <formula1>0</formula1>
    </dataValidation>
    <dataValidation type="whole" operator="greaterThanOrEqual" allowBlank="1" showInputMessage="1" showErrorMessage="1" prompt="Introduisez le nombre d'arbres" sqref="F39">
      <formula1>0</formula1>
    </dataValidation>
    <dataValidation type="whole" operator="greaterThanOrEqual" allowBlank="1" showInputMessage="1" showErrorMessage="1" prompt="Introduisez la superficie du pré fleuri" sqref="F44">
      <formula1>0</formula1>
    </dataValidation>
    <dataValidation type="decimal" operator="greaterThanOrEqual" allowBlank="1" showInputMessage="1" showErrorMessage="1" prompt="Intoduisez la superficie de la zone d'eaux dormantes" sqref="F45:F46">
      <formula1>0</formula1>
    </dataValidation>
    <dataValidation type="decimal" operator="greaterThan" allowBlank="1" showInputMessage="1" showErrorMessage="1" prompt="Intoduisez la superficie de la zone d'eaux courantes" sqref="F47">
      <formula1>0</formula1>
    </dataValidation>
    <dataValidation type="decimal" operator="greaterThanOrEqual" allowBlank="1" showInputMessage="1" showErrorMessage="1" prompt="Intoduisez la superficie de la zone inondée" sqref="F48">
      <formula1>0</formula1>
    </dataValidation>
    <dataValidation type="decimal" operator="greaterThanOrEqual" allowBlank="1" showInputMessage="1" showErrorMessage="1" prompt="Intoduisez la superficie de parking végétalisé" sqref="F50">
      <formula1>0</formula1>
    </dataValidation>
    <dataValidation type="decimal" operator="greaterThanOrEqual" allowBlank="1" showInputMessage="1" showErrorMessage="1" prompt="Intoduisez la longueur totale des murs en pierres sèches" sqref="F51">
      <formula1>0</formula1>
    </dataValidation>
    <dataValidation type="decimal" operator="greaterThanOrEqual" allowBlank="1" showInputMessage="1" showErrorMessage="1" prompt="Intoduisez la superficie de pelouse (hors pré fleuri)" sqref="F49">
      <formula1>0</formula1>
    </dataValidation>
    <dataValidation type="decimal" operator="greaterThanOrEqual" allowBlank="1" showInputMessage="1" showErrorMessage="1" prompt="Introduisez la superficie des autres massifs ornementaux" sqref="F42">
      <formula1>0</formula1>
    </dataValidation>
    <dataValidation type="list" allowBlank="1" showInputMessage="1" showErrorMessage="1" sqref="B7">
      <formula1>question</formula1>
    </dataValidation>
  </dataValidations>
  <pageMargins left="0.7" right="0.7" top="0.75" bottom="0.75" header="0.3" footer="0.3"/>
  <pageSetup paperSize="9" orientation="portrait" horizontalDpi="4294967292" verticalDpi="4294967292" r:id="rId1"/>
  <drawing r:id="rId2"/>
  <legacyDrawing r:id="rId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enableFormatConditionsCalculation="0"/>
  <dimension ref="A1:M58"/>
  <sheetViews>
    <sheetView workbookViewId="0">
      <selection activeCell="B55" sqref="B55"/>
    </sheetView>
  </sheetViews>
  <sheetFormatPr defaultColWidth="9.140625" defaultRowHeight="18" customHeight="1"/>
  <cols>
    <col min="1" max="1" width="9.140625" style="147"/>
    <col min="2" max="2" width="47" style="147" customWidth="1"/>
    <col min="3" max="3" width="13.42578125" style="148" customWidth="1"/>
    <col min="4" max="4" width="9" style="147" customWidth="1"/>
    <col min="5" max="5" width="33.140625" style="147" customWidth="1"/>
    <col min="6" max="6" width="9.42578125" style="147" customWidth="1"/>
    <col min="7" max="7" width="11.140625" style="150" hidden="1" customWidth="1"/>
    <col min="8" max="8" width="25.42578125" style="147" hidden="1" customWidth="1"/>
    <col min="9" max="9" width="12.42578125" style="149" hidden="1" customWidth="1"/>
    <col min="10" max="10" width="18.7109375" style="148" hidden="1" customWidth="1"/>
    <col min="11" max="11" width="9.140625" style="147" hidden="1" customWidth="1"/>
    <col min="12" max="12" width="0" style="147" hidden="1" customWidth="1"/>
    <col min="13" max="13" width="10.85546875" style="147" hidden="1" customWidth="1"/>
    <col min="14" max="16384" width="9.140625" style="147"/>
  </cols>
  <sheetData>
    <row r="1" spans="1:13" ht="27.75" customHeight="1">
      <c r="A1" s="841"/>
      <c r="B1" s="841"/>
      <c r="C1" s="842"/>
      <c r="D1" s="841"/>
      <c r="E1" s="841"/>
      <c r="F1" s="841"/>
    </row>
    <row r="2" spans="1:13" ht="21.75" customHeight="1">
      <c r="A2" s="841"/>
      <c r="B2" s="901" t="s">
        <v>1874</v>
      </c>
      <c r="C2" s="165" t="s">
        <v>1875</v>
      </c>
      <c r="D2" s="164" t="s">
        <v>1876</v>
      </c>
      <c r="E2" s="163"/>
      <c r="F2" s="895"/>
      <c r="G2" s="363" t="s">
        <v>118</v>
      </c>
      <c r="H2" s="364" t="s">
        <v>117</v>
      </c>
      <c r="I2" s="365"/>
      <c r="J2" s="366" t="s">
        <v>116</v>
      </c>
      <c r="K2" s="367"/>
      <c r="L2" s="367"/>
      <c r="M2" s="367"/>
    </row>
    <row r="3" spans="1:13" ht="12" customHeight="1">
      <c r="A3" s="841"/>
      <c r="B3" s="894"/>
      <c r="C3" s="849"/>
      <c r="D3" s="843"/>
      <c r="E3" s="895"/>
      <c r="F3" s="895"/>
      <c r="G3" s="363"/>
      <c r="H3" s="364"/>
      <c r="I3" s="365"/>
      <c r="J3" s="366"/>
      <c r="K3" s="367"/>
      <c r="L3" s="367"/>
      <c r="M3" s="367"/>
    </row>
    <row r="4" spans="1:13" ht="24.95" customHeight="1">
      <c r="A4" s="841"/>
      <c r="B4" s="896" t="s">
        <v>1879</v>
      </c>
      <c r="C4" s="934"/>
      <c r="D4" s="850"/>
      <c r="E4" s="895"/>
      <c r="F4" s="895"/>
      <c r="G4" s="368"/>
      <c r="H4" s="369"/>
      <c r="I4" s="365"/>
      <c r="J4" s="366"/>
      <c r="K4" s="367"/>
      <c r="L4" s="367"/>
      <c r="M4" s="367"/>
    </row>
    <row r="5" spans="1:13" ht="18" customHeight="1">
      <c r="A5" s="841"/>
      <c r="B5" s="160" t="s">
        <v>1877</v>
      </c>
      <c r="C5" s="902"/>
      <c r="D5" s="903" t="s">
        <v>32</v>
      </c>
      <c r="E5" s="845"/>
      <c r="F5" s="845"/>
      <c r="G5" s="370">
        <f t="shared" ref="G5:G10" si="0">+C5*2.5</f>
        <v>0</v>
      </c>
      <c r="H5" s="371" t="s">
        <v>104</v>
      </c>
      <c r="I5" s="370">
        <f t="shared" ref="I5:I10" si="1">+G5</f>
        <v>0</v>
      </c>
      <c r="J5" s="372" t="s">
        <v>114</v>
      </c>
      <c r="K5" s="367"/>
      <c r="L5" s="362" t="s">
        <v>633</v>
      </c>
      <c r="M5" s="367"/>
    </row>
    <row r="6" spans="1:13" ht="18" customHeight="1">
      <c r="A6" s="841"/>
      <c r="B6" s="160" t="s">
        <v>1878</v>
      </c>
      <c r="C6" s="902"/>
      <c r="D6" s="903" t="s">
        <v>32</v>
      </c>
      <c r="E6" s="845"/>
      <c r="F6" s="845"/>
      <c r="G6" s="370">
        <f t="shared" si="0"/>
        <v>0</v>
      </c>
      <c r="H6" s="371" t="s">
        <v>104</v>
      </c>
      <c r="I6" s="370">
        <f t="shared" si="1"/>
        <v>0</v>
      </c>
      <c r="J6" s="372" t="s">
        <v>112</v>
      </c>
      <c r="K6" s="367"/>
      <c r="L6" s="367"/>
      <c r="M6" s="367"/>
    </row>
    <row r="7" spans="1:13" ht="18" customHeight="1">
      <c r="A7" s="841"/>
      <c r="B7" s="160" t="s">
        <v>1880</v>
      </c>
      <c r="C7" s="902"/>
      <c r="D7" s="903" t="s">
        <v>32</v>
      </c>
      <c r="E7" s="845"/>
      <c r="F7" s="845"/>
      <c r="G7" s="370">
        <f t="shared" si="0"/>
        <v>0</v>
      </c>
      <c r="H7" s="371" t="s">
        <v>104</v>
      </c>
      <c r="I7" s="370">
        <f t="shared" si="1"/>
        <v>0</v>
      </c>
      <c r="J7" s="372" t="s">
        <v>110</v>
      </c>
      <c r="K7" s="367"/>
      <c r="L7" s="367"/>
      <c r="M7" s="367"/>
    </row>
    <row r="8" spans="1:13" ht="18" customHeight="1">
      <c r="A8" s="841"/>
      <c r="B8" s="160" t="s">
        <v>1881</v>
      </c>
      <c r="C8" s="902"/>
      <c r="D8" s="903" t="s">
        <v>32</v>
      </c>
      <c r="E8" s="845"/>
      <c r="F8" s="845"/>
      <c r="G8" s="370">
        <f t="shared" si="0"/>
        <v>0</v>
      </c>
      <c r="H8" s="371" t="s">
        <v>104</v>
      </c>
      <c r="I8" s="370">
        <f t="shared" si="1"/>
        <v>0</v>
      </c>
      <c r="J8" s="372" t="s">
        <v>108</v>
      </c>
      <c r="K8" s="367"/>
      <c r="L8" s="367"/>
      <c r="M8" s="367"/>
    </row>
    <row r="9" spans="1:13" ht="18" customHeight="1">
      <c r="A9" s="841"/>
      <c r="B9" s="160" t="s">
        <v>1882</v>
      </c>
      <c r="C9" s="902"/>
      <c r="D9" s="903" t="s">
        <v>32</v>
      </c>
      <c r="E9" s="845"/>
      <c r="F9" s="845"/>
      <c r="G9" s="370">
        <f t="shared" si="0"/>
        <v>0</v>
      </c>
      <c r="H9" s="371" t="s">
        <v>104</v>
      </c>
      <c r="I9" s="370">
        <f t="shared" si="1"/>
        <v>0</v>
      </c>
      <c r="J9" s="372" t="s">
        <v>106</v>
      </c>
      <c r="K9" s="367"/>
      <c r="L9" s="367"/>
      <c r="M9" s="367"/>
    </row>
    <row r="10" spans="1:13" ht="18" customHeight="1">
      <c r="A10" s="841"/>
      <c r="B10" s="160" t="s">
        <v>1883</v>
      </c>
      <c r="C10" s="902"/>
      <c r="D10" s="903" t="s">
        <v>32</v>
      </c>
      <c r="E10" s="845"/>
      <c r="F10" s="845"/>
      <c r="G10" s="370">
        <f t="shared" si="0"/>
        <v>0</v>
      </c>
      <c r="H10" s="371" t="s">
        <v>104</v>
      </c>
      <c r="I10" s="370">
        <f t="shared" si="1"/>
        <v>0</v>
      </c>
      <c r="J10" s="372" t="s">
        <v>103</v>
      </c>
      <c r="K10" s="367"/>
      <c r="L10" s="367"/>
      <c r="M10" s="367"/>
    </row>
    <row r="11" spans="1:13" ht="11.1" customHeight="1">
      <c r="A11" s="841"/>
      <c r="B11" s="904"/>
      <c r="C11" s="905"/>
      <c r="D11" s="904"/>
      <c r="E11" s="906"/>
      <c r="F11" s="906"/>
      <c r="G11" s="370"/>
      <c r="H11" s="373"/>
      <c r="I11" s="370"/>
      <c r="J11" s="374"/>
      <c r="K11" s="367"/>
      <c r="L11" s="367"/>
      <c r="M11" s="367"/>
    </row>
    <row r="12" spans="1:13" s="159" customFormat="1" ht="24.95" customHeight="1">
      <c r="A12" s="909"/>
      <c r="B12" s="896" t="s">
        <v>1884</v>
      </c>
      <c r="C12" s="897"/>
      <c r="D12" s="898"/>
      <c r="E12" s="899"/>
      <c r="F12" s="907"/>
      <c r="G12" s="375"/>
      <c r="H12" s="376"/>
      <c r="I12" s="375"/>
      <c r="J12" s="377"/>
      <c r="K12" s="378"/>
      <c r="L12" s="378"/>
      <c r="M12" s="378"/>
    </row>
    <row r="13" spans="1:13" ht="18" customHeight="1">
      <c r="A13" s="841"/>
      <c r="B13" s="900" t="s">
        <v>1895</v>
      </c>
      <c r="C13" s="935"/>
      <c r="D13" s="929"/>
      <c r="E13" s="845"/>
      <c r="F13" s="845"/>
      <c r="G13" s="370"/>
      <c r="H13" s="371"/>
      <c r="I13" s="370"/>
      <c r="J13" s="372"/>
      <c r="K13" s="367"/>
      <c r="L13" s="367"/>
      <c r="M13" s="367"/>
    </row>
    <row r="14" spans="1:13" ht="18" customHeight="1">
      <c r="A14" s="841"/>
      <c r="B14" s="157" t="s">
        <v>1885</v>
      </c>
      <c r="C14" s="912"/>
      <c r="D14" s="913" t="s">
        <v>100</v>
      </c>
      <c r="E14" s="908"/>
      <c r="F14" s="908"/>
      <c r="G14" s="379">
        <f>+C14*0.9*0.0036</f>
        <v>0</v>
      </c>
      <c r="H14" s="380" t="s">
        <v>99</v>
      </c>
      <c r="I14" s="379">
        <f>+G14+G15</f>
        <v>0</v>
      </c>
      <c r="J14" s="381" t="s">
        <v>98</v>
      </c>
      <c r="K14" s="382" t="s">
        <v>29</v>
      </c>
      <c r="L14" s="367"/>
      <c r="M14" s="367"/>
    </row>
    <row r="15" spans="1:13" ht="18" customHeight="1">
      <c r="A15" s="841"/>
      <c r="B15" s="158"/>
      <c r="C15" s="914"/>
      <c r="D15" s="915" t="s">
        <v>460</v>
      </c>
      <c r="E15" s="908"/>
      <c r="F15" s="908"/>
      <c r="G15" s="383">
        <f>+C15*0.9*3.6</f>
        <v>0</v>
      </c>
      <c r="H15" s="384" t="s">
        <v>97</v>
      </c>
      <c r="I15" s="383"/>
      <c r="J15" s="385"/>
      <c r="K15" s="367"/>
      <c r="L15" s="367"/>
      <c r="M15" s="367"/>
    </row>
    <row r="16" spans="1:13" ht="18" customHeight="1">
      <c r="A16" s="841"/>
      <c r="B16" s="155" t="s">
        <v>1886</v>
      </c>
      <c r="C16" s="886"/>
      <c r="D16" s="915" t="s">
        <v>460</v>
      </c>
      <c r="E16" s="845"/>
      <c r="F16" s="845"/>
      <c r="G16" s="379">
        <f>+C16*3.6</f>
        <v>0</v>
      </c>
      <c r="H16" s="371" t="s">
        <v>22</v>
      </c>
      <c r="I16" s="370">
        <f>+G16</f>
        <v>0</v>
      </c>
      <c r="J16" s="372" t="s">
        <v>95</v>
      </c>
      <c r="K16" s="367"/>
      <c r="L16" s="367"/>
      <c r="M16" s="367"/>
    </row>
    <row r="17" spans="1:13" ht="18" customHeight="1">
      <c r="A17" s="841"/>
      <c r="B17" s="157" t="s">
        <v>1887</v>
      </c>
      <c r="C17" s="912"/>
      <c r="D17" s="913" t="s">
        <v>66</v>
      </c>
      <c r="E17" s="908"/>
      <c r="F17" s="908"/>
      <c r="G17" s="379">
        <f>+C17*45.6/1000</f>
        <v>0</v>
      </c>
      <c r="H17" s="380" t="s">
        <v>93</v>
      </c>
      <c r="I17" s="379">
        <f>+G17+G18</f>
        <v>0</v>
      </c>
      <c r="J17" s="381" t="s">
        <v>92</v>
      </c>
      <c r="K17" s="382" t="s">
        <v>29</v>
      </c>
      <c r="L17" s="367"/>
      <c r="M17" s="367"/>
    </row>
    <row r="18" spans="1:13" ht="18" customHeight="1">
      <c r="A18" s="841"/>
      <c r="B18" s="158"/>
      <c r="C18" s="914"/>
      <c r="D18" s="915" t="s">
        <v>61</v>
      </c>
      <c r="E18" s="908"/>
      <c r="F18" s="908"/>
      <c r="G18" s="383">
        <f>+C18*0.58*45.6/1000</f>
        <v>0</v>
      </c>
      <c r="H18" s="384" t="s">
        <v>91</v>
      </c>
      <c r="I18" s="383"/>
      <c r="J18" s="385"/>
      <c r="K18" s="367"/>
      <c r="L18" s="367"/>
      <c r="M18" s="367"/>
    </row>
    <row r="19" spans="1:13" ht="18" customHeight="1">
      <c r="A19" s="841"/>
      <c r="B19" s="157" t="s">
        <v>1888</v>
      </c>
      <c r="C19" s="912"/>
      <c r="D19" s="913" t="s">
        <v>66</v>
      </c>
      <c r="E19" s="908"/>
      <c r="F19" s="908"/>
      <c r="G19" s="379">
        <f>+C19*46.35/1000</f>
        <v>0</v>
      </c>
      <c r="H19" s="380" t="s">
        <v>89</v>
      </c>
      <c r="I19" s="379">
        <f>+G19+G20</f>
        <v>0</v>
      </c>
      <c r="J19" s="381" t="s">
        <v>88</v>
      </c>
      <c r="K19" s="382" t="s">
        <v>29</v>
      </c>
      <c r="L19" s="367"/>
      <c r="M19" s="367"/>
    </row>
    <row r="20" spans="1:13" ht="18" customHeight="1">
      <c r="A20" s="841"/>
      <c r="B20" s="158"/>
      <c r="C20" s="914"/>
      <c r="D20" s="915" t="s">
        <v>61</v>
      </c>
      <c r="E20" s="908"/>
      <c r="F20" s="908"/>
      <c r="G20" s="383">
        <f>+C20*0.51*46.35/1000</f>
        <v>0</v>
      </c>
      <c r="H20" s="384" t="s">
        <v>87</v>
      </c>
      <c r="I20" s="383"/>
      <c r="J20" s="385"/>
      <c r="K20" s="367"/>
      <c r="L20" s="367"/>
      <c r="M20" s="367"/>
    </row>
    <row r="21" spans="1:13" ht="18" customHeight="1">
      <c r="A21" s="841"/>
      <c r="B21" s="153" t="s">
        <v>1889</v>
      </c>
      <c r="C21" s="916"/>
      <c r="D21" s="917" t="s">
        <v>61</v>
      </c>
      <c r="E21" s="845"/>
      <c r="F21" s="845"/>
      <c r="G21" s="370">
        <f>+C21*0.54*45.8/1000</f>
        <v>0</v>
      </c>
      <c r="H21" s="371" t="s">
        <v>85</v>
      </c>
      <c r="I21" s="370">
        <f>+G21</f>
        <v>0</v>
      </c>
      <c r="J21" s="372" t="s">
        <v>84</v>
      </c>
      <c r="K21" s="367"/>
      <c r="L21" s="367"/>
      <c r="M21" s="367"/>
    </row>
    <row r="22" spans="1:13" ht="11.1" customHeight="1">
      <c r="A22" s="841"/>
      <c r="B22" s="845"/>
      <c r="C22" s="918"/>
      <c r="D22" s="845"/>
      <c r="E22" s="845"/>
      <c r="F22" s="845"/>
      <c r="G22" s="370"/>
      <c r="H22" s="371"/>
      <c r="I22" s="370"/>
      <c r="J22" s="372"/>
      <c r="K22" s="367"/>
      <c r="L22" s="367"/>
      <c r="M22" s="367"/>
    </row>
    <row r="23" spans="1:13" ht="18" customHeight="1">
      <c r="A23" s="841"/>
      <c r="B23" s="900" t="s">
        <v>1896</v>
      </c>
      <c r="C23" s="935"/>
      <c r="D23" s="929"/>
      <c r="E23" s="845"/>
      <c r="F23" s="845"/>
      <c r="G23" s="370"/>
      <c r="H23" s="371"/>
      <c r="I23" s="370"/>
      <c r="J23" s="372"/>
      <c r="K23" s="367"/>
      <c r="L23" s="367"/>
      <c r="M23" s="367"/>
    </row>
    <row r="24" spans="1:13" ht="18" customHeight="1">
      <c r="A24" s="841"/>
      <c r="B24" s="153" t="s">
        <v>82</v>
      </c>
      <c r="C24" s="916"/>
      <c r="D24" s="917" t="s">
        <v>61</v>
      </c>
      <c r="E24" s="845"/>
      <c r="F24" s="845"/>
      <c r="G24" s="370">
        <f>+C24*0.84*42.75/1000</f>
        <v>0</v>
      </c>
      <c r="H24" s="371" t="s">
        <v>81</v>
      </c>
      <c r="I24" s="370">
        <f>+G24</f>
        <v>0</v>
      </c>
      <c r="J24" s="372" t="s">
        <v>80</v>
      </c>
      <c r="K24" s="367"/>
      <c r="L24" s="367"/>
      <c r="M24" s="367"/>
    </row>
    <row r="25" spans="1:13" ht="18" customHeight="1">
      <c r="A25" s="841"/>
      <c r="B25" s="153" t="s">
        <v>1890</v>
      </c>
      <c r="C25" s="916"/>
      <c r="D25" s="917" t="s">
        <v>61</v>
      </c>
      <c r="E25" s="845"/>
      <c r="F25" s="845"/>
      <c r="G25" s="370">
        <f>+C25*0.75*43/1000</f>
        <v>0</v>
      </c>
      <c r="H25" s="371" t="s">
        <v>78</v>
      </c>
      <c r="I25" s="370">
        <f>+G25</f>
        <v>0</v>
      </c>
      <c r="J25" s="372" t="s">
        <v>77</v>
      </c>
      <c r="K25" s="367"/>
      <c r="L25" s="367"/>
      <c r="M25" s="367"/>
    </row>
    <row r="26" spans="1:13" ht="18" customHeight="1">
      <c r="A26" s="841"/>
      <c r="B26" s="157" t="s">
        <v>1891</v>
      </c>
      <c r="C26" s="912"/>
      <c r="D26" s="913" t="s">
        <v>75</v>
      </c>
      <c r="E26" s="908"/>
      <c r="F26" s="908"/>
      <c r="G26" s="379">
        <f>+C26*42.3/1000</f>
        <v>0</v>
      </c>
      <c r="H26" s="380" t="s">
        <v>74</v>
      </c>
      <c r="I26" s="379">
        <f>+G26+G27</f>
        <v>0</v>
      </c>
      <c r="J26" s="381" t="s">
        <v>73</v>
      </c>
      <c r="K26" s="382" t="s">
        <v>29</v>
      </c>
      <c r="L26" s="367"/>
      <c r="M26" s="367"/>
    </row>
    <row r="27" spans="1:13" ht="18" customHeight="1">
      <c r="A27" s="841"/>
      <c r="B27" s="158"/>
      <c r="C27" s="914"/>
      <c r="D27" s="915" t="s">
        <v>61</v>
      </c>
      <c r="E27" s="908"/>
      <c r="F27" s="908"/>
      <c r="G27" s="383">
        <f>+C27*0.87*42.3/1000</f>
        <v>0</v>
      </c>
      <c r="H27" s="384" t="s">
        <v>72</v>
      </c>
      <c r="I27" s="383"/>
      <c r="J27" s="385"/>
      <c r="K27" s="367"/>
      <c r="L27" s="367"/>
      <c r="M27" s="367"/>
    </row>
    <row r="28" spans="1:13" ht="18" customHeight="1">
      <c r="A28" s="841"/>
      <c r="B28" s="157" t="s">
        <v>1892</v>
      </c>
      <c r="C28" s="924"/>
      <c r="D28" s="913" t="s">
        <v>66</v>
      </c>
      <c r="E28" s="845"/>
      <c r="F28" s="845"/>
      <c r="G28" s="379">
        <f>+C28*41.4/1000</f>
        <v>0</v>
      </c>
      <c r="H28" s="386" t="s">
        <v>70</v>
      </c>
      <c r="I28" s="379">
        <f>+G28+G29</f>
        <v>0</v>
      </c>
      <c r="J28" s="387" t="s">
        <v>69</v>
      </c>
      <c r="K28" s="382" t="s">
        <v>29</v>
      </c>
      <c r="L28" s="367"/>
      <c r="M28" s="367"/>
    </row>
    <row r="29" spans="1:13" ht="18" customHeight="1">
      <c r="A29" s="841"/>
      <c r="B29" s="154"/>
      <c r="C29" s="926"/>
      <c r="D29" s="915" t="s">
        <v>61</v>
      </c>
      <c r="E29" s="845"/>
      <c r="F29" s="845"/>
      <c r="G29" s="383">
        <f>+C29*0.95*41.4/1000</f>
        <v>0</v>
      </c>
      <c r="H29" s="388" t="s">
        <v>68</v>
      </c>
      <c r="I29" s="383"/>
      <c r="J29" s="389"/>
      <c r="K29" s="367"/>
      <c r="L29" s="367"/>
      <c r="M29" s="367"/>
    </row>
    <row r="30" spans="1:13" ht="18" customHeight="1">
      <c r="A30" s="841"/>
      <c r="B30" s="157" t="s">
        <v>1893</v>
      </c>
      <c r="C30" s="924"/>
      <c r="D30" s="913" t="s">
        <v>66</v>
      </c>
      <c r="E30" s="845"/>
      <c r="F30" s="845"/>
      <c r="G30" s="379">
        <f>+C30*41/1000</f>
        <v>0</v>
      </c>
      <c r="H30" s="386" t="s">
        <v>65</v>
      </c>
      <c r="I30" s="390">
        <f>+G30+G31</f>
        <v>0</v>
      </c>
      <c r="J30" s="387" t="s">
        <v>64</v>
      </c>
      <c r="K30" s="382" t="s">
        <v>29</v>
      </c>
      <c r="L30" s="367"/>
      <c r="M30" s="367"/>
    </row>
    <row r="31" spans="1:13" ht="18" customHeight="1">
      <c r="A31" s="841"/>
      <c r="B31" s="154"/>
      <c r="C31" s="926"/>
      <c r="D31" s="915" t="s">
        <v>61</v>
      </c>
      <c r="E31" s="845"/>
      <c r="F31" s="845"/>
      <c r="G31" s="383">
        <f>+C31*0.95*41/1000</f>
        <v>0</v>
      </c>
      <c r="H31" s="388" t="s">
        <v>63</v>
      </c>
      <c r="I31" s="391"/>
      <c r="J31" s="389"/>
      <c r="K31" s="367"/>
      <c r="L31" s="367"/>
      <c r="M31" s="367"/>
    </row>
    <row r="32" spans="1:13" ht="18" customHeight="1">
      <c r="A32" s="841"/>
      <c r="B32" s="153" t="s">
        <v>1894</v>
      </c>
      <c r="C32" s="916"/>
      <c r="D32" s="917" t="s">
        <v>61</v>
      </c>
      <c r="E32" s="845"/>
      <c r="F32" s="845"/>
      <c r="G32" s="370">
        <f>+C32*33.55/1000</f>
        <v>0</v>
      </c>
      <c r="H32" s="371" t="s">
        <v>60</v>
      </c>
      <c r="I32" s="392">
        <v>0</v>
      </c>
      <c r="J32" s="372" t="s">
        <v>59</v>
      </c>
      <c r="K32" s="367"/>
      <c r="L32" s="367"/>
      <c r="M32" s="367"/>
    </row>
    <row r="33" spans="1:13" ht="11.1" customHeight="1">
      <c r="A33" s="841"/>
      <c r="B33" s="919"/>
      <c r="C33" s="920"/>
      <c r="D33" s="919"/>
      <c r="E33" s="845"/>
      <c r="F33" s="845"/>
      <c r="G33" s="370"/>
      <c r="H33" s="371"/>
      <c r="I33" s="392"/>
      <c r="J33" s="372"/>
      <c r="K33" s="367"/>
      <c r="L33" s="367"/>
      <c r="M33" s="367"/>
    </row>
    <row r="34" spans="1:13" ht="18" customHeight="1">
      <c r="A34" s="841"/>
      <c r="B34" s="933" t="s">
        <v>1897</v>
      </c>
      <c r="C34" s="936"/>
      <c r="D34" s="937"/>
      <c r="E34" s="845"/>
      <c r="F34" s="845"/>
      <c r="G34" s="370"/>
      <c r="H34" s="371"/>
      <c r="I34" s="392"/>
      <c r="J34" s="372"/>
      <c r="K34" s="367"/>
      <c r="L34" s="367"/>
      <c r="M34" s="367"/>
    </row>
    <row r="35" spans="1:13" ht="18" customHeight="1">
      <c r="A35" s="841"/>
      <c r="B35" s="153" t="s">
        <v>1898</v>
      </c>
      <c r="C35" s="927"/>
      <c r="D35" s="917" t="s">
        <v>38</v>
      </c>
      <c r="E35" s="845"/>
      <c r="F35" s="845"/>
      <c r="G35" s="370">
        <f>+C35*16.7</f>
        <v>0</v>
      </c>
      <c r="H35" s="371" t="s">
        <v>56</v>
      </c>
      <c r="I35" s="392">
        <f t="shared" ref="I35:I41" si="2">+G35</f>
        <v>0</v>
      </c>
      <c r="J35" s="372" t="s">
        <v>55</v>
      </c>
      <c r="K35" s="367"/>
      <c r="L35" s="367"/>
      <c r="M35" s="367"/>
    </row>
    <row r="36" spans="1:13" ht="18" customHeight="1">
      <c r="A36" s="841"/>
      <c r="B36" s="153" t="s">
        <v>1899</v>
      </c>
      <c r="C36" s="927"/>
      <c r="D36" s="917" t="s">
        <v>38</v>
      </c>
      <c r="E36" s="845"/>
      <c r="F36" s="845"/>
      <c r="G36" s="370">
        <f>+C36*18.4</f>
        <v>0</v>
      </c>
      <c r="H36" s="371" t="s">
        <v>53</v>
      </c>
      <c r="I36" s="392">
        <f t="shared" si="2"/>
        <v>0</v>
      </c>
      <c r="J36" s="372" t="s">
        <v>52</v>
      </c>
      <c r="K36" s="367"/>
      <c r="L36" s="367"/>
      <c r="M36" s="367"/>
    </row>
    <row r="37" spans="1:13" ht="18" customHeight="1">
      <c r="A37" s="841"/>
      <c r="B37" s="153" t="s">
        <v>1900</v>
      </c>
      <c r="C37" s="927"/>
      <c r="D37" s="917" t="s">
        <v>38</v>
      </c>
      <c r="E37" s="845"/>
      <c r="F37" s="845"/>
      <c r="G37" s="370">
        <f>+C37*15.5</f>
        <v>0</v>
      </c>
      <c r="H37" s="371" t="s">
        <v>50</v>
      </c>
      <c r="I37" s="392">
        <f t="shared" si="2"/>
        <v>0</v>
      </c>
      <c r="J37" s="372" t="s">
        <v>49</v>
      </c>
      <c r="K37" s="367"/>
      <c r="L37" s="367"/>
      <c r="M37" s="367"/>
    </row>
    <row r="38" spans="1:13" ht="18" customHeight="1">
      <c r="A38" s="841"/>
      <c r="B38" s="153" t="s">
        <v>1901</v>
      </c>
      <c r="C38" s="927"/>
      <c r="D38" s="917" t="s">
        <v>38</v>
      </c>
      <c r="E38" s="845"/>
      <c r="F38" s="845"/>
      <c r="G38" s="370">
        <f>+C38*12.6</f>
        <v>0</v>
      </c>
      <c r="H38" s="371" t="s">
        <v>47</v>
      </c>
      <c r="I38" s="392">
        <f t="shared" si="2"/>
        <v>0</v>
      </c>
      <c r="J38" s="372" t="s">
        <v>46</v>
      </c>
      <c r="K38" s="367"/>
      <c r="L38" s="367"/>
      <c r="M38" s="367"/>
    </row>
    <row r="39" spans="1:13" ht="18" customHeight="1">
      <c r="A39" s="841"/>
      <c r="B39" s="153" t="s">
        <v>1902</v>
      </c>
      <c r="C39" s="927"/>
      <c r="D39" s="917" t="s">
        <v>38</v>
      </c>
      <c r="E39" s="845"/>
      <c r="F39" s="845"/>
      <c r="G39" s="370">
        <f>+C39*1.1</f>
        <v>0</v>
      </c>
      <c r="H39" s="371" t="s">
        <v>44</v>
      </c>
      <c r="I39" s="392">
        <f t="shared" si="2"/>
        <v>0</v>
      </c>
      <c r="J39" s="372" t="s">
        <v>43</v>
      </c>
      <c r="K39" s="367"/>
      <c r="L39" s="367"/>
      <c r="M39" s="367"/>
    </row>
    <row r="40" spans="1:13" ht="18" customHeight="1">
      <c r="A40" s="841"/>
      <c r="B40" s="153" t="s">
        <v>1903</v>
      </c>
      <c r="C40" s="927"/>
      <c r="D40" s="917" t="s">
        <v>38</v>
      </c>
      <c r="E40" s="845"/>
      <c r="F40" s="845"/>
      <c r="G40" s="370">
        <f>+C40*9.5</f>
        <v>0</v>
      </c>
      <c r="H40" s="371" t="s">
        <v>41</v>
      </c>
      <c r="I40" s="392">
        <f t="shared" si="2"/>
        <v>0</v>
      </c>
      <c r="J40" s="372" t="s">
        <v>40</v>
      </c>
      <c r="K40" s="367"/>
      <c r="L40" s="367"/>
      <c r="M40" s="367"/>
    </row>
    <row r="41" spans="1:13" ht="18" customHeight="1">
      <c r="A41" s="841"/>
      <c r="B41" s="153" t="s">
        <v>1904</v>
      </c>
      <c r="C41" s="927"/>
      <c r="D41" s="917" t="s">
        <v>38</v>
      </c>
      <c r="E41" s="845"/>
      <c r="F41" s="845"/>
      <c r="G41" s="370">
        <f>+C41*5.9</f>
        <v>0</v>
      </c>
      <c r="H41" s="371" t="s">
        <v>37</v>
      </c>
      <c r="I41" s="392">
        <f t="shared" si="2"/>
        <v>0</v>
      </c>
      <c r="J41" s="372" t="s">
        <v>36</v>
      </c>
      <c r="K41" s="367"/>
      <c r="L41" s="367"/>
      <c r="M41" s="367"/>
    </row>
    <row r="42" spans="1:13" ht="11.1" customHeight="1">
      <c r="A42" s="841"/>
      <c r="B42" s="904"/>
      <c r="C42" s="905"/>
      <c r="D42" s="904"/>
      <c r="E42" s="906"/>
      <c r="F42" s="906"/>
      <c r="G42" s="370"/>
      <c r="H42" s="373"/>
      <c r="I42" s="370"/>
      <c r="J42" s="374"/>
      <c r="K42" s="367"/>
      <c r="L42" s="367"/>
      <c r="M42" s="367"/>
    </row>
    <row r="43" spans="1:13" ht="24.95" customHeight="1">
      <c r="A43" s="841"/>
      <c r="B43" s="896" t="s">
        <v>1905</v>
      </c>
      <c r="C43" s="930"/>
      <c r="D43" s="931"/>
      <c r="E43" s="932"/>
      <c r="F43" s="845"/>
      <c r="G43" s="370"/>
      <c r="H43" s="371"/>
      <c r="I43" s="392"/>
      <c r="J43" s="372"/>
      <c r="K43" s="367"/>
      <c r="L43" s="367"/>
      <c r="M43" s="367"/>
    </row>
    <row r="44" spans="1:13" ht="18" customHeight="1">
      <c r="A44" s="841"/>
      <c r="B44" s="157" t="s">
        <v>1906</v>
      </c>
      <c r="C44" s="924"/>
      <c r="D44" s="913" t="s">
        <v>32</v>
      </c>
      <c r="E44" s="845"/>
      <c r="F44" s="845"/>
      <c r="G44" s="379">
        <f>+C44*0.0036</f>
        <v>0</v>
      </c>
      <c r="H44" s="386" t="s">
        <v>31</v>
      </c>
      <c r="I44" s="390">
        <f>+G44+G45+G46+G47</f>
        <v>0</v>
      </c>
      <c r="J44" s="387" t="s">
        <v>34</v>
      </c>
      <c r="K44" s="382" t="s">
        <v>29</v>
      </c>
      <c r="L44" s="367"/>
      <c r="M44" s="367"/>
    </row>
    <row r="45" spans="1:13" ht="18" customHeight="1">
      <c r="A45" s="841"/>
      <c r="B45" s="156"/>
      <c r="C45" s="925"/>
      <c r="D45" s="915" t="s">
        <v>460</v>
      </c>
      <c r="E45" s="845"/>
      <c r="F45" s="845"/>
      <c r="G45" s="370">
        <f>+C45*3.6</f>
        <v>0</v>
      </c>
      <c r="H45" s="371" t="s">
        <v>22</v>
      </c>
      <c r="I45" s="392"/>
      <c r="J45" s="393"/>
      <c r="K45" s="367"/>
      <c r="L45" s="367"/>
      <c r="M45" s="367"/>
    </row>
    <row r="46" spans="1:13" ht="18" customHeight="1">
      <c r="A46" s="841"/>
      <c r="B46" s="156"/>
      <c r="C46" s="925"/>
      <c r="D46" s="928" t="s">
        <v>27</v>
      </c>
      <c r="E46" s="845"/>
      <c r="F46" s="845"/>
      <c r="G46" s="370">
        <f>+C46/1000</f>
        <v>0</v>
      </c>
      <c r="H46" s="371" t="s">
        <v>26</v>
      </c>
      <c r="I46" s="392"/>
      <c r="J46" s="393"/>
      <c r="K46" s="367"/>
      <c r="L46" s="367"/>
      <c r="M46" s="367"/>
    </row>
    <row r="47" spans="1:13" ht="18" customHeight="1">
      <c r="A47" s="841"/>
      <c r="B47" s="154"/>
      <c r="C47" s="926"/>
      <c r="D47" s="915" t="s">
        <v>25</v>
      </c>
      <c r="E47" s="845"/>
      <c r="F47" s="845"/>
      <c r="G47" s="383">
        <f>+C47</f>
        <v>0</v>
      </c>
      <c r="H47" s="388"/>
      <c r="I47" s="391"/>
      <c r="J47" s="389"/>
      <c r="K47" s="367"/>
      <c r="L47" s="367"/>
      <c r="M47" s="367"/>
    </row>
    <row r="48" spans="1:13" ht="18" customHeight="1">
      <c r="A48" s="841"/>
      <c r="B48" s="157" t="s">
        <v>1907</v>
      </c>
      <c r="C48" s="924"/>
      <c r="D48" s="913" t="s">
        <v>32</v>
      </c>
      <c r="E48" s="845"/>
      <c r="F48" s="845"/>
      <c r="G48" s="379">
        <f>+C48*0.0036</f>
        <v>0</v>
      </c>
      <c r="H48" s="386" t="s">
        <v>31</v>
      </c>
      <c r="I48" s="379">
        <f>+G48+G49+G50+G51</f>
        <v>0</v>
      </c>
      <c r="J48" s="387" t="s">
        <v>30</v>
      </c>
      <c r="K48" s="382" t="s">
        <v>29</v>
      </c>
      <c r="L48" s="367"/>
      <c r="M48" s="367"/>
    </row>
    <row r="49" spans="1:13" ht="18" customHeight="1">
      <c r="A49" s="841"/>
      <c r="B49" s="156"/>
      <c r="C49" s="925"/>
      <c r="D49" s="915" t="s">
        <v>460</v>
      </c>
      <c r="E49" s="845"/>
      <c r="F49" s="845"/>
      <c r="G49" s="370">
        <f>+C49*3.6</f>
        <v>0</v>
      </c>
      <c r="H49" s="371" t="s">
        <v>22</v>
      </c>
      <c r="I49" s="370"/>
      <c r="J49" s="393"/>
      <c r="K49" s="367"/>
      <c r="L49" s="367"/>
      <c r="M49" s="367"/>
    </row>
    <row r="50" spans="1:13" ht="18" customHeight="1">
      <c r="A50" s="841"/>
      <c r="B50" s="156"/>
      <c r="C50" s="925"/>
      <c r="D50" s="928" t="s">
        <v>27</v>
      </c>
      <c r="E50" s="845"/>
      <c r="F50" s="845"/>
      <c r="G50" s="370">
        <f>+C50/1000</f>
        <v>0</v>
      </c>
      <c r="H50" s="371" t="s">
        <v>26</v>
      </c>
      <c r="I50" s="370"/>
      <c r="J50" s="393"/>
      <c r="K50" s="367"/>
      <c r="L50" s="367"/>
      <c r="M50" s="367"/>
    </row>
    <row r="51" spans="1:13" ht="18" customHeight="1">
      <c r="A51" s="841"/>
      <c r="B51" s="154"/>
      <c r="C51" s="926"/>
      <c r="D51" s="915" t="s">
        <v>25</v>
      </c>
      <c r="E51" s="845"/>
      <c r="F51" s="845"/>
      <c r="G51" s="383">
        <f>+C51</f>
        <v>0</v>
      </c>
      <c r="H51" s="388"/>
      <c r="I51" s="383"/>
      <c r="J51" s="389"/>
      <c r="K51" s="367"/>
      <c r="L51" s="367"/>
      <c r="M51" s="367"/>
    </row>
    <row r="52" spans="1:13" ht="18" customHeight="1">
      <c r="A52" s="841"/>
      <c r="B52" s="153" t="s">
        <v>1908</v>
      </c>
      <c r="C52" s="916"/>
      <c r="D52" s="915" t="s">
        <v>460</v>
      </c>
      <c r="E52" s="845"/>
      <c r="F52" s="845"/>
      <c r="G52" s="370">
        <f>+C52*3.6</f>
        <v>0</v>
      </c>
      <c r="H52" s="371" t="s">
        <v>22</v>
      </c>
      <c r="I52" s="394">
        <f>+G52</f>
        <v>0</v>
      </c>
      <c r="J52" s="395" t="s">
        <v>21</v>
      </c>
      <c r="K52" s="396"/>
      <c r="L52" s="367"/>
      <c r="M52" s="367"/>
    </row>
    <row r="53" spans="1:13" ht="18" customHeight="1">
      <c r="A53" s="841"/>
      <c r="B53" s="910"/>
      <c r="C53" s="921"/>
      <c r="D53" s="910"/>
      <c r="E53" s="910"/>
      <c r="F53" s="910"/>
      <c r="G53" s="397"/>
      <c r="H53" s="371"/>
      <c r="I53" s="394"/>
      <c r="J53" s="398"/>
      <c r="K53" s="367"/>
      <c r="L53" s="367"/>
      <c r="M53" s="367"/>
    </row>
    <row r="54" spans="1:13" ht="15" customHeight="1">
      <c r="A54" s="841"/>
      <c r="B54" s="882" t="s">
        <v>1909</v>
      </c>
      <c r="C54" s="922" t="e">
        <f>+(#REF!+#REF!)/(#REF!+#REF!+#REF!)</f>
        <v>#REF!</v>
      </c>
      <c r="D54" s="923"/>
      <c r="E54" s="911"/>
      <c r="F54" s="911"/>
    </row>
    <row r="55" spans="1:13" ht="27" customHeight="1">
      <c r="A55" s="841"/>
      <c r="B55" s="841"/>
      <c r="C55" s="842"/>
      <c r="D55" s="841"/>
      <c r="E55" s="911"/>
      <c r="F55" s="911"/>
    </row>
    <row r="56" spans="1:13" ht="27" customHeight="1">
      <c r="E56" s="151"/>
      <c r="F56" s="151"/>
    </row>
    <row r="57" spans="1:13" ht="27" customHeight="1">
      <c r="E57" s="151"/>
      <c r="F57" s="151"/>
    </row>
    <row r="58" spans="1:13" ht="27" customHeight="1">
      <c r="E58" s="151"/>
      <c r="F58" s="151"/>
    </row>
  </sheetData>
  <pageMargins left="0.74791666666666667" right="0.74791666666666667" top="0.98402777777777772" bottom="0.98402777777777772" header="0.51180555555555551" footer="0.51180555555555551"/>
  <pageSetup paperSize="9" scale="60" firstPageNumber="0" orientation="portrait" horizontalDpi="300" verticalDpi="300" r:id="rId1"/>
  <headerFooter alignWithMargins="0"/>
  <colBreaks count="1" manualBreakCount="1">
    <brk id="10" max="1048575" man="1"/>
  </colBreaks>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enableFormatConditionsCalculation="0"/>
  <dimension ref="A1:H49"/>
  <sheetViews>
    <sheetView workbookViewId="0">
      <selection activeCell="G4" sqref="G4"/>
    </sheetView>
  </sheetViews>
  <sheetFormatPr defaultColWidth="9.140625" defaultRowHeight="12.75"/>
  <cols>
    <col min="1" max="1" width="40.42578125" style="333" customWidth="1"/>
    <col min="2" max="2" width="14.7109375" style="333" customWidth="1"/>
    <col min="3" max="3" width="30" style="333" customWidth="1"/>
    <col min="4" max="4" width="7.42578125" style="333" customWidth="1"/>
    <col min="5" max="5" width="18.7109375" style="334" customWidth="1"/>
    <col min="6" max="256" width="9.140625" style="333"/>
    <col min="257" max="257" width="40.42578125" style="333" customWidth="1"/>
    <col min="258" max="258" width="14.7109375" style="333" customWidth="1"/>
    <col min="259" max="259" width="30" style="333" customWidth="1"/>
    <col min="260" max="260" width="7.42578125" style="333" customWidth="1"/>
    <col min="261" max="261" width="18.7109375" style="333" customWidth="1"/>
    <col min="262" max="512" width="9.140625" style="333"/>
    <col min="513" max="513" width="40.42578125" style="333" customWidth="1"/>
    <col min="514" max="514" width="14.7109375" style="333" customWidth="1"/>
    <col min="515" max="515" width="30" style="333" customWidth="1"/>
    <col min="516" max="516" width="7.42578125" style="333" customWidth="1"/>
    <col min="517" max="517" width="18.7109375" style="333" customWidth="1"/>
    <col min="518" max="768" width="9.140625" style="333"/>
    <col min="769" max="769" width="40.42578125" style="333" customWidth="1"/>
    <col min="770" max="770" width="14.7109375" style="333" customWidth="1"/>
    <col min="771" max="771" width="30" style="333" customWidth="1"/>
    <col min="772" max="772" width="7.42578125" style="333" customWidth="1"/>
    <col min="773" max="773" width="18.7109375" style="333" customWidth="1"/>
    <col min="774" max="1024" width="9.140625" style="333"/>
    <col min="1025" max="1025" width="40.42578125" style="333" customWidth="1"/>
    <col min="1026" max="1026" width="14.7109375" style="333" customWidth="1"/>
    <col min="1027" max="1027" width="30" style="333" customWidth="1"/>
    <col min="1028" max="1028" width="7.42578125" style="333" customWidth="1"/>
    <col min="1029" max="1029" width="18.7109375" style="333" customWidth="1"/>
    <col min="1030" max="1280" width="9.140625" style="333"/>
    <col min="1281" max="1281" width="40.42578125" style="333" customWidth="1"/>
    <col min="1282" max="1282" width="14.7109375" style="333" customWidth="1"/>
    <col min="1283" max="1283" width="30" style="333" customWidth="1"/>
    <col min="1284" max="1284" width="7.42578125" style="333" customWidth="1"/>
    <col min="1285" max="1285" width="18.7109375" style="333" customWidth="1"/>
    <col min="1286" max="1536" width="9.140625" style="333"/>
    <col min="1537" max="1537" width="40.42578125" style="333" customWidth="1"/>
    <col min="1538" max="1538" width="14.7109375" style="333" customWidth="1"/>
    <col min="1539" max="1539" width="30" style="333" customWidth="1"/>
    <col min="1540" max="1540" width="7.42578125" style="333" customWidth="1"/>
    <col min="1541" max="1541" width="18.7109375" style="333" customWidth="1"/>
    <col min="1542" max="1792" width="9.140625" style="333"/>
    <col min="1793" max="1793" width="40.42578125" style="333" customWidth="1"/>
    <col min="1794" max="1794" width="14.7109375" style="333" customWidth="1"/>
    <col min="1795" max="1795" width="30" style="333" customWidth="1"/>
    <col min="1796" max="1796" width="7.42578125" style="333" customWidth="1"/>
    <col min="1797" max="1797" width="18.7109375" style="333" customWidth="1"/>
    <col min="1798" max="2048" width="9.140625" style="333"/>
    <col min="2049" max="2049" width="40.42578125" style="333" customWidth="1"/>
    <col min="2050" max="2050" width="14.7109375" style="333" customWidth="1"/>
    <col min="2051" max="2051" width="30" style="333" customWidth="1"/>
    <col min="2052" max="2052" width="7.42578125" style="333" customWidth="1"/>
    <col min="2053" max="2053" width="18.7109375" style="333" customWidth="1"/>
    <col min="2054" max="2304" width="9.140625" style="333"/>
    <col min="2305" max="2305" width="40.42578125" style="333" customWidth="1"/>
    <col min="2306" max="2306" width="14.7109375" style="333" customWidth="1"/>
    <col min="2307" max="2307" width="30" style="333" customWidth="1"/>
    <col min="2308" max="2308" width="7.42578125" style="333" customWidth="1"/>
    <col min="2309" max="2309" width="18.7109375" style="333" customWidth="1"/>
    <col min="2310" max="2560" width="9.140625" style="333"/>
    <col min="2561" max="2561" width="40.42578125" style="333" customWidth="1"/>
    <col min="2562" max="2562" width="14.7109375" style="333" customWidth="1"/>
    <col min="2563" max="2563" width="30" style="333" customWidth="1"/>
    <col min="2564" max="2564" width="7.42578125" style="333" customWidth="1"/>
    <col min="2565" max="2565" width="18.7109375" style="333" customWidth="1"/>
    <col min="2566" max="2816" width="9.140625" style="333"/>
    <col min="2817" max="2817" width="40.42578125" style="333" customWidth="1"/>
    <col min="2818" max="2818" width="14.7109375" style="333" customWidth="1"/>
    <col min="2819" max="2819" width="30" style="333" customWidth="1"/>
    <col min="2820" max="2820" width="7.42578125" style="333" customWidth="1"/>
    <col min="2821" max="2821" width="18.7109375" style="333" customWidth="1"/>
    <col min="2822" max="3072" width="9.140625" style="333"/>
    <col min="3073" max="3073" width="40.42578125" style="333" customWidth="1"/>
    <col min="3074" max="3074" width="14.7109375" style="333" customWidth="1"/>
    <col min="3075" max="3075" width="30" style="333" customWidth="1"/>
    <col min="3076" max="3076" width="7.42578125" style="333" customWidth="1"/>
    <col min="3077" max="3077" width="18.7109375" style="333" customWidth="1"/>
    <col min="3078" max="3328" width="9.140625" style="333"/>
    <col min="3329" max="3329" width="40.42578125" style="333" customWidth="1"/>
    <col min="3330" max="3330" width="14.7109375" style="333" customWidth="1"/>
    <col min="3331" max="3331" width="30" style="333" customWidth="1"/>
    <col min="3332" max="3332" width="7.42578125" style="333" customWidth="1"/>
    <col min="3333" max="3333" width="18.7109375" style="333" customWidth="1"/>
    <col min="3334" max="3584" width="9.140625" style="333"/>
    <col min="3585" max="3585" width="40.42578125" style="333" customWidth="1"/>
    <col min="3586" max="3586" width="14.7109375" style="333" customWidth="1"/>
    <col min="3587" max="3587" width="30" style="333" customWidth="1"/>
    <col min="3588" max="3588" width="7.42578125" style="333" customWidth="1"/>
    <col min="3589" max="3589" width="18.7109375" style="333" customWidth="1"/>
    <col min="3590" max="3840" width="9.140625" style="333"/>
    <col min="3841" max="3841" width="40.42578125" style="333" customWidth="1"/>
    <col min="3842" max="3842" width="14.7109375" style="333" customWidth="1"/>
    <col min="3843" max="3843" width="30" style="333" customWidth="1"/>
    <col min="3844" max="3844" width="7.42578125" style="333" customWidth="1"/>
    <col min="3845" max="3845" width="18.7109375" style="333" customWidth="1"/>
    <col min="3846" max="4096" width="9.140625" style="333"/>
    <col min="4097" max="4097" width="40.42578125" style="333" customWidth="1"/>
    <col min="4098" max="4098" width="14.7109375" style="333" customWidth="1"/>
    <col min="4099" max="4099" width="30" style="333" customWidth="1"/>
    <col min="4100" max="4100" width="7.42578125" style="333" customWidth="1"/>
    <col min="4101" max="4101" width="18.7109375" style="333" customWidth="1"/>
    <col min="4102" max="4352" width="9.140625" style="333"/>
    <col min="4353" max="4353" width="40.42578125" style="333" customWidth="1"/>
    <col min="4354" max="4354" width="14.7109375" style="333" customWidth="1"/>
    <col min="4355" max="4355" width="30" style="333" customWidth="1"/>
    <col min="4356" max="4356" width="7.42578125" style="333" customWidth="1"/>
    <col min="4357" max="4357" width="18.7109375" style="333" customWidth="1"/>
    <col min="4358" max="4608" width="9.140625" style="333"/>
    <col min="4609" max="4609" width="40.42578125" style="333" customWidth="1"/>
    <col min="4610" max="4610" width="14.7109375" style="333" customWidth="1"/>
    <col min="4611" max="4611" width="30" style="333" customWidth="1"/>
    <col min="4612" max="4612" width="7.42578125" style="333" customWidth="1"/>
    <col min="4613" max="4613" width="18.7109375" style="333" customWidth="1"/>
    <col min="4614" max="4864" width="9.140625" style="333"/>
    <col min="4865" max="4865" width="40.42578125" style="333" customWidth="1"/>
    <col min="4866" max="4866" width="14.7109375" style="333" customWidth="1"/>
    <col min="4867" max="4867" width="30" style="333" customWidth="1"/>
    <col min="4868" max="4868" width="7.42578125" style="333" customWidth="1"/>
    <col min="4869" max="4869" width="18.7109375" style="333" customWidth="1"/>
    <col min="4870" max="5120" width="9.140625" style="333"/>
    <col min="5121" max="5121" width="40.42578125" style="333" customWidth="1"/>
    <col min="5122" max="5122" width="14.7109375" style="333" customWidth="1"/>
    <col min="5123" max="5123" width="30" style="333" customWidth="1"/>
    <col min="5124" max="5124" width="7.42578125" style="333" customWidth="1"/>
    <col min="5125" max="5125" width="18.7109375" style="333" customWidth="1"/>
    <col min="5126" max="5376" width="9.140625" style="333"/>
    <col min="5377" max="5377" width="40.42578125" style="333" customWidth="1"/>
    <col min="5378" max="5378" width="14.7109375" style="333" customWidth="1"/>
    <col min="5379" max="5379" width="30" style="333" customWidth="1"/>
    <col min="5380" max="5380" width="7.42578125" style="333" customWidth="1"/>
    <col min="5381" max="5381" width="18.7109375" style="333" customWidth="1"/>
    <col min="5382" max="5632" width="9.140625" style="333"/>
    <col min="5633" max="5633" width="40.42578125" style="333" customWidth="1"/>
    <col min="5634" max="5634" width="14.7109375" style="333" customWidth="1"/>
    <col min="5635" max="5635" width="30" style="333" customWidth="1"/>
    <col min="5636" max="5636" width="7.42578125" style="333" customWidth="1"/>
    <col min="5637" max="5637" width="18.7109375" style="333" customWidth="1"/>
    <col min="5638" max="5888" width="9.140625" style="333"/>
    <col min="5889" max="5889" width="40.42578125" style="333" customWidth="1"/>
    <col min="5890" max="5890" width="14.7109375" style="333" customWidth="1"/>
    <col min="5891" max="5891" width="30" style="333" customWidth="1"/>
    <col min="5892" max="5892" width="7.42578125" style="333" customWidth="1"/>
    <col min="5893" max="5893" width="18.7109375" style="333" customWidth="1"/>
    <col min="5894" max="6144" width="9.140625" style="333"/>
    <col min="6145" max="6145" width="40.42578125" style="333" customWidth="1"/>
    <col min="6146" max="6146" width="14.7109375" style="333" customWidth="1"/>
    <col min="6147" max="6147" width="30" style="333" customWidth="1"/>
    <col min="6148" max="6148" width="7.42578125" style="333" customWidth="1"/>
    <col min="6149" max="6149" width="18.7109375" style="333" customWidth="1"/>
    <col min="6150" max="6400" width="9.140625" style="333"/>
    <col min="6401" max="6401" width="40.42578125" style="333" customWidth="1"/>
    <col min="6402" max="6402" width="14.7109375" style="333" customWidth="1"/>
    <col min="6403" max="6403" width="30" style="333" customWidth="1"/>
    <col min="6404" max="6404" width="7.42578125" style="333" customWidth="1"/>
    <col min="6405" max="6405" width="18.7109375" style="333" customWidth="1"/>
    <col min="6406" max="6656" width="9.140625" style="333"/>
    <col min="6657" max="6657" width="40.42578125" style="333" customWidth="1"/>
    <col min="6658" max="6658" width="14.7109375" style="333" customWidth="1"/>
    <col min="6659" max="6659" width="30" style="333" customWidth="1"/>
    <col min="6660" max="6660" width="7.42578125" style="333" customWidth="1"/>
    <col min="6661" max="6661" width="18.7109375" style="333" customWidth="1"/>
    <col min="6662" max="6912" width="9.140625" style="333"/>
    <col min="6913" max="6913" width="40.42578125" style="333" customWidth="1"/>
    <col min="6914" max="6914" width="14.7109375" style="333" customWidth="1"/>
    <col min="6915" max="6915" width="30" style="333" customWidth="1"/>
    <col min="6916" max="6916" width="7.42578125" style="333" customWidth="1"/>
    <col min="6917" max="6917" width="18.7109375" style="333" customWidth="1"/>
    <col min="6918" max="7168" width="9.140625" style="333"/>
    <col min="7169" max="7169" width="40.42578125" style="333" customWidth="1"/>
    <col min="7170" max="7170" width="14.7109375" style="333" customWidth="1"/>
    <col min="7171" max="7171" width="30" style="333" customWidth="1"/>
    <col min="7172" max="7172" width="7.42578125" style="333" customWidth="1"/>
    <col min="7173" max="7173" width="18.7109375" style="333" customWidth="1"/>
    <col min="7174" max="7424" width="9.140625" style="333"/>
    <col min="7425" max="7425" width="40.42578125" style="333" customWidth="1"/>
    <col min="7426" max="7426" width="14.7109375" style="333" customWidth="1"/>
    <col min="7427" max="7427" width="30" style="333" customWidth="1"/>
    <col min="7428" max="7428" width="7.42578125" style="333" customWidth="1"/>
    <col min="7429" max="7429" width="18.7109375" style="333" customWidth="1"/>
    <col min="7430" max="7680" width="9.140625" style="333"/>
    <col min="7681" max="7681" width="40.42578125" style="333" customWidth="1"/>
    <col min="7682" max="7682" width="14.7109375" style="333" customWidth="1"/>
    <col min="7683" max="7683" width="30" style="333" customWidth="1"/>
    <col min="7684" max="7684" width="7.42578125" style="333" customWidth="1"/>
    <col min="7685" max="7685" width="18.7109375" style="333" customWidth="1"/>
    <col min="7686" max="7936" width="9.140625" style="333"/>
    <col min="7937" max="7937" width="40.42578125" style="333" customWidth="1"/>
    <col min="7938" max="7938" width="14.7109375" style="333" customWidth="1"/>
    <col min="7939" max="7939" width="30" style="333" customWidth="1"/>
    <col min="7940" max="7940" width="7.42578125" style="333" customWidth="1"/>
    <col min="7941" max="7941" width="18.7109375" style="333" customWidth="1"/>
    <col min="7942" max="8192" width="9.140625" style="333"/>
    <col min="8193" max="8193" width="40.42578125" style="333" customWidth="1"/>
    <col min="8194" max="8194" width="14.7109375" style="333" customWidth="1"/>
    <col min="8195" max="8195" width="30" style="333" customWidth="1"/>
    <col min="8196" max="8196" width="7.42578125" style="333" customWidth="1"/>
    <col min="8197" max="8197" width="18.7109375" style="333" customWidth="1"/>
    <col min="8198" max="8448" width="9.140625" style="333"/>
    <col min="8449" max="8449" width="40.42578125" style="333" customWidth="1"/>
    <col min="8450" max="8450" width="14.7109375" style="333" customWidth="1"/>
    <col min="8451" max="8451" width="30" style="333" customWidth="1"/>
    <col min="8452" max="8452" width="7.42578125" style="333" customWidth="1"/>
    <col min="8453" max="8453" width="18.7109375" style="333" customWidth="1"/>
    <col min="8454" max="8704" width="9.140625" style="333"/>
    <col min="8705" max="8705" width="40.42578125" style="333" customWidth="1"/>
    <col min="8706" max="8706" width="14.7109375" style="333" customWidth="1"/>
    <col min="8707" max="8707" width="30" style="333" customWidth="1"/>
    <col min="8708" max="8708" width="7.42578125" style="333" customWidth="1"/>
    <col min="8709" max="8709" width="18.7109375" style="333" customWidth="1"/>
    <col min="8710" max="8960" width="9.140625" style="333"/>
    <col min="8961" max="8961" width="40.42578125" style="333" customWidth="1"/>
    <col min="8962" max="8962" width="14.7109375" style="333" customWidth="1"/>
    <col min="8963" max="8963" width="30" style="333" customWidth="1"/>
    <col min="8964" max="8964" width="7.42578125" style="333" customWidth="1"/>
    <col min="8965" max="8965" width="18.7109375" style="333" customWidth="1"/>
    <col min="8966" max="9216" width="9.140625" style="333"/>
    <col min="9217" max="9217" width="40.42578125" style="333" customWidth="1"/>
    <col min="9218" max="9218" width="14.7109375" style="333" customWidth="1"/>
    <col min="9219" max="9219" width="30" style="333" customWidth="1"/>
    <col min="9220" max="9220" width="7.42578125" style="333" customWidth="1"/>
    <col min="9221" max="9221" width="18.7109375" style="333" customWidth="1"/>
    <col min="9222" max="9472" width="9.140625" style="333"/>
    <col min="9473" max="9473" width="40.42578125" style="333" customWidth="1"/>
    <col min="9474" max="9474" width="14.7109375" style="333" customWidth="1"/>
    <col min="9475" max="9475" width="30" style="333" customWidth="1"/>
    <col min="9476" max="9476" width="7.42578125" style="333" customWidth="1"/>
    <col min="9477" max="9477" width="18.7109375" style="333" customWidth="1"/>
    <col min="9478" max="9728" width="9.140625" style="333"/>
    <col min="9729" max="9729" width="40.42578125" style="333" customWidth="1"/>
    <col min="9730" max="9730" width="14.7109375" style="333" customWidth="1"/>
    <col min="9731" max="9731" width="30" style="333" customWidth="1"/>
    <col min="9732" max="9732" width="7.42578125" style="333" customWidth="1"/>
    <col min="9733" max="9733" width="18.7109375" style="333" customWidth="1"/>
    <col min="9734" max="9984" width="9.140625" style="333"/>
    <col min="9985" max="9985" width="40.42578125" style="333" customWidth="1"/>
    <col min="9986" max="9986" width="14.7109375" style="333" customWidth="1"/>
    <col min="9987" max="9987" width="30" style="333" customWidth="1"/>
    <col min="9988" max="9988" width="7.42578125" style="333" customWidth="1"/>
    <col min="9989" max="9989" width="18.7109375" style="333" customWidth="1"/>
    <col min="9990" max="10240" width="9.140625" style="333"/>
    <col min="10241" max="10241" width="40.42578125" style="333" customWidth="1"/>
    <col min="10242" max="10242" width="14.7109375" style="333" customWidth="1"/>
    <col min="10243" max="10243" width="30" style="333" customWidth="1"/>
    <col min="10244" max="10244" width="7.42578125" style="333" customWidth="1"/>
    <col min="10245" max="10245" width="18.7109375" style="333" customWidth="1"/>
    <col min="10246" max="10496" width="9.140625" style="333"/>
    <col min="10497" max="10497" width="40.42578125" style="333" customWidth="1"/>
    <col min="10498" max="10498" width="14.7109375" style="333" customWidth="1"/>
    <col min="10499" max="10499" width="30" style="333" customWidth="1"/>
    <col min="10500" max="10500" width="7.42578125" style="333" customWidth="1"/>
    <col min="10501" max="10501" width="18.7109375" style="333" customWidth="1"/>
    <col min="10502" max="10752" width="9.140625" style="333"/>
    <col min="10753" max="10753" width="40.42578125" style="333" customWidth="1"/>
    <col min="10754" max="10754" width="14.7109375" style="333" customWidth="1"/>
    <col min="10755" max="10755" width="30" style="333" customWidth="1"/>
    <col min="10756" max="10756" width="7.42578125" style="333" customWidth="1"/>
    <col min="10757" max="10757" width="18.7109375" style="333" customWidth="1"/>
    <col min="10758" max="11008" width="9.140625" style="333"/>
    <col min="11009" max="11009" width="40.42578125" style="333" customWidth="1"/>
    <col min="11010" max="11010" width="14.7109375" style="333" customWidth="1"/>
    <col min="11011" max="11011" width="30" style="333" customWidth="1"/>
    <col min="11012" max="11012" width="7.42578125" style="333" customWidth="1"/>
    <col min="11013" max="11013" width="18.7109375" style="333" customWidth="1"/>
    <col min="11014" max="11264" width="9.140625" style="333"/>
    <col min="11265" max="11265" width="40.42578125" style="333" customWidth="1"/>
    <col min="11266" max="11266" width="14.7109375" style="333" customWidth="1"/>
    <col min="11267" max="11267" width="30" style="333" customWidth="1"/>
    <col min="11268" max="11268" width="7.42578125" style="333" customWidth="1"/>
    <col min="11269" max="11269" width="18.7109375" style="333" customWidth="1"/>
    <col min="11270" max="11520" width="9.140625" style="333"/>
    <col min="11521" max="11521" width="40.42578125" style="333" customWidth="1"/>
    <col min="11522" max="11522" width="14.7109375" style="333" customWidth="1"/>
    <col min="11523" max="11523" width="30" style="333" customWidth="1"/>
    <col min="11524" max="11524" width="7.42578125" style="333" customWidth="1"/>
    <col min="11525" max="11525" width="18.7109375" style="333" customWidth="1"/>
    <col min="11526" max="11776" width="9.140625" style="333"/>
    <col min="11777" max="11777" width="40.42578125" style="333" customWidth="1"/>
    <col min="11778" max="11778" width="14.7109375" style="333" customWidth="1"/>
    <col min="11779" max="11779" width="30" style="333" customWidth="1"/>
    <col min="11780" max="11780" width="7.42578125" style="333" customWidth="1"/>
    <col min="11781" max="11781" width="18.7109375" style="333" customWidth="1"/>
    <col min="11782" max="12032" width="9.140625" style="333"/>
    <col min="12033" max="12033" width="40.42578125" style="333" customWidth="1"/>
    <col min="12034" max="12034" width="14.7109375" style="333" customWidth="1"/>
    <col min="12035" max="12035" width="30" style="333" customWidth="1"/>
    <col min="12036" max="12036" width="7.42578125" style="333" customWidth="1"/>
    <col min="12037" max="12037" width="18.7109375" style="333" customWidth="1"/>
    <col min="12038" max="12288" width="9.140625" style="333"/>
    <col min="12289" max="12289" width="40.42578125" style="333" customWidth="1"/>
    <col min="12290" max="12290" width="14.7109375" style="333" customWidth="1"/>
    <col min="12291" max="12291" width="30" style="333" customWidth="1"/>
    <col min="12292" max="12292" width="7.42578125" style="333" customWidth="1"/>
    <col min="12293" max="12293" width="18.7109375" style="333" customWidth="1"/>
    <col min="12294" max="12544" width="9.140625" style="333"/>
    <col min="12545" max="12545" width="40.42578125" style="333" customWidth="1"/>
    <col min="12546" max="12546" width="14.7109375" style="333" customWidth="1"/>
    <col min="12547" max="12547" width="30" style="333" customWidth="1"/>
    <col min="12548" max="12548" width="7.42578125" style="333" customWidth="1"/>
    <col min="12549" max="12549" width="18.7109375" style="333" customWidth="1"/>
    <col min="12550" max="12800" width="9.140625" style="333"/>
    <col min="12801" max="12801" width="40.42578125" style="333" customWidth="1"/>
    <col min="12802" max="12802" width="14.7109375" style="333" customWidth="1"/>
    <col min="12803" max="12803" width="30" style="333" customWidth="1"/>
    <col min="12804" max="12804" width="7.42578125" style="333" customWidth="1"/>
    <col min="12805" max="12805" width="18.7109375" style="333" customWidth="1"/>
    <col min="12806" max="13056" width="9.140625" style="333"/>
    <col min="13057" max="13057" width="40.42578125" style="333" customWidth="1"/>
    <col min="13058" max="13058" width="14.7109375" style="333" customWidth="1"/>
    <col min="13059" max="13059" width="30" style="333" customWidth="1"/>
    <col min="13060" max="13060" width="7.42578125" style="333" customWidth="1"/>
    <col min="13061" max="13061" width="18.7109375" style="333" customWidth="1"/>
    <col min="13062" max="13312" width="9.140625" style="333"/>
    <col min="13313" max="13313" width="40.42578125" style="333" customWidth="1"/>
    <col min="13314" max="13314" width="14.7109375" style="333" customWidth="1"/>
    <col min="13315" max="13315" width="30" style="333" customWidth="1"/>
    <col min="13316" max="13316" width="7.42578125" style="333" customWidth="1"/>
    <col min="13317" max="13317" width="18.7109375" style="333" customWidth="1"/>
    <col min="13318" max="13568" width="9.140625" style="333"/>
    <col min="13569" max="13569" width="40.42578125" style="333" customWidth="1"/>
    <col min="13570" max="13570" width="14.7109375" style="333" customWidth="1"/>
    <col min="13571" max="13571" width="30" style="333" customWidth="1"/>
    <col min="13572" max="13572" width="7.42578125" style="333" customWidth="1"/>
    <col min="13573" max="13573" width="18.7109375" style="333" customWidth="1"/>
    <col min="13574" max="13824" width="9.140625" style="333"/>
    <col min="13825" max="13825" width="40.42578125" style="333" customWidth="1"/>
    <col min="13826" max="13826" width="14.7109375" style="333" customWidth="1"/>
    <col min="13827" max="13827" width="30" style="333" customWidth="1"/>
    <col min="13828" max="13828" width="7.42578125" style="333" customWidth="1"/>
    <col min="13829" max="13829" width="18.7109375" style="333" customWidth="1"/>
    <col min="13830" max="14080" width="9.140625" style="333"/>
    <col min="14081" max="14081" width="40.42578125" style="333" customWidth="1"/>
    <col min="14082" max="14082" width="14.7109375" style="333" customWidth="1"/>
    <col min="14083" max="14083" width="30" style="333" customWidth="1"/>
    <col min="14084" max="14084" width="7.42578125" style="333" customWidth="1"/>
    <col min="14085" max="14085" width="18.7109375" style="333" customWidth="1"/>
    <col min="14086" max="14336" width="9.140625" style="333"/>
    <col min="14337" max="14337" width="40.42578125" style="333" customWidth="1"/>
    <col min="14338" max="14338" width="14.7109375" style="333" customWidth="1"/>
    <col min="14339" max="14339" width="30" style="333" customWidth="1"/>
    <col min="14340" max="14340" width="7.42578125" style="333" customWidth="1"/>
    <col min="14341" max="14341" width="18.7109375" style="333" customWidth="1"/>
    <col min="14342" max="14592" width="9.140625" style="333"/>
    <col min="14593" max="14593" width="40.42578125" style="333" customWidth="1"/>
    <col min="14594" max="14594" width="14.7109375" style="333" customWidth="1"/>
    <col min="14595" max="14595" width="30" style="333" customWidth="1"/>
    <col min="14596" max="14596" width="7.42578125" style="333" customWidth="1"/>
    <col min="14597" max="14597" width="18.7109375" style="333" customWidth="1"/>
    <col min="14598" max="14848" width="9.140625" style="333"/>
    <col min="14849" max="14849" width="40.42578125" style="333" customWidth="1"/>
    <col min="14850" max="14850" width="14.7109375" style="333" customWidth="1"/>
    <col min="14851" max="14851" width="30" style="333" customWidth="1"/>
    <col min="14852" max="14852" width="7.42578125" style="333" customWidth="1"/>
    <col min="14853" max="14853" width="18.7109375" style="333" customWidth="1"/>
    <col min="14854" max="15104" width="9.140625" style="333"/>
    <col min="15105" max="15105" width="40.42578125" style="333" customWidth="1"/>
    <col min="15106" max="15106" width="14.7109375" style="333" customWidth="1"/>
    <col min="15107" max="15107" width="30" style="333" customWidth="1"/>
    <col min="15108" max="15108" width="7.42578125" style="333" customWidth="1"/>
    <col min="15109" max="15109" width="18.7109375" style="333" customWidth="1"/>
    <col min="15110" max="15360" width="9.140625" style="333"/>
    <col min="15361" max="15361" width="40.42578125" style="333" customWidth="1"/>
    <col min="15362" max="15362" width="14.7109375" style="333" customWidth="1"/>
    <col min="15363" max="15363" width="30" style="333" customWidth="1"/>
    <col min="15364" max="15364" width="7.42578125" style="333" customWidth="1"/>
    <col min="15365" max="15365" width="18.7109375" style="333" customWidth="1"/>
    <col min="15366" max="15616" width="9.140625" style="333"/>
    <col min="15617" max="15617" width="40.42578125" style="333" customWidth="1"/>
    <col min="15618" max="15618" width="14.7109375" style="333" customWidth="1"/>
    <col min="15619" max="15619" width="30" style="333" customWidth="1"/>
    <col min="15620" max="15620" width="7.42578125" style="333" customWidth="1"/>
    <col min="15621" max="15621" width="18.7109375" style="333" customWidth="1"/>
    <col min="15622" max="15872" width="9.140625" style="333"/>
    <col min="15873" max="15873" width="40.42578125" style="333" customWidth="1"/>
    <col min="15874" max="15874" width="14.7109375" style="333" customWidth="1"/>
    <col min="15875" max="15875" width="30" style="333" customWidth="1"/>
    <col min="15876" max="15876" width="7.42578125" style="333" customWidth="1"/>
    <col min="15877" max="15877" width="18.7109375" style="333" customWidth="1"/>
    <col min="15878" max="16128" width="9.140625" style="333"/>
    <col min="16129" max="16129" width="40.42578125" style="333" customWidth="1"/>
    <col min="16130" max="16130" width="14.7109375" style="333" customWidth="1"/>
    <col min="16131" max="16131" width="30" style="333" customWidth="1"/>
    <col min="16132" max="16132" width="7.42578125" style="333" customWidth="1"/>
    <col min="16133" max="16133" width="18.7109375" style="333" customWidth="1"/>
    <col min="16134" max="16384" width="9.140625" style="333"/>
  </cols>
  <sheetData>
    <row r="1" spans="1:8">
      <c r="A1" s="364" t="s">
        <v>486</v>
      </c>
      <c r="B1" s="364" t="s">
        <v>485</v>
      </c>
      <c r="C1" s="364" t="s">
        <v>117</v>
      </c>
      <c r="D1" s="364" t="s">
        <v>484</v>
      </c>
      <c r="E1" s="399" t="s">
        <v>483</v>
      </c>
      <c r="F1" s="367"/>
      <c r="G1" s="367"/>
      <c r="H1" s="367"/>
    </row>
    <row r="2" spans="1:8">
      <c r="A2" s="364" t="s">
        <v>482</v>
      </c>
      <c r="B2" s="369"/>
      <c r="C2" s="369"/>
      <c r="D2" s="369"/>
      <c r="E2" s="366"/>
      <c r="F2" s="367"/>
      <c r="G2" s="367"/>
      <c r="H2" s="367"/>
    </row>
    <row r="3" spans="1:8">
      <c r="A3" s="400" t="s">
        <v>115</v>
      </c>
      <c r="B3" s="400" t="s">
        <v>32</v>
      </c>
      <c r="C3" s="400" t="s">
        <v>104</v>
      </c>
      <c r="D3" s="371"/>
      <c r="E3" s="401" t="s">
        <v>135</v>
      </c>
      <c r="F3" s="367"/>
      <c r="G3" s="367"/>
      <c r="H3" s="367"/>
    </row>
    <row r="4" spans="1:8" ht="18.75">
      <c r="A4" s="402" t="s">
        <v>113</v>
      </c>
      <c r="B4" s="402" t="s">
        <v>32</v>
      </c>
      <c r="C4" s="402" t="s">
        <v>104</v>
      </c>
      <c r="D4" s="403"/>
      <c r="E4" s="404" t="s">
        <v>134</v>
      </c>
      <c r="F4" s="367"/>
      <c r="G4" s="362" t="s">
        <v>634</v>
      </c>
      <c r="H4" s="367"/>
    </row>
    <row r="5" spans="1:8">
      <c r="A5" s="402" t="s">
        <v>111</v>
      </c>
      <c r="B5" s="402" t="s">
        <v>32</v>
      </c>
      <c r="C5" s="402" t="s">
        <v>104</v>
      </c>
      <c r="D5" s="403"/>
      <c r="E5" s="404" t="s">
        <v>132</v>
      </c>
      <c r="F5" s="367"/>
      <c r="G5" s="367"/>
      <c r="H5" s="367"/>
    </row>
    <row r="6" spans="1:8">
      <c r="A6" s="402" t="s">
        <v>109</v>
      </c>
      <c r="B6" s="402" t="s">
        <v>32</v>
      </c>
      <c r="C6" s="402" t="s">
        <v>104</v>
      </c>
      <c r="D6" s="405"/>
      <c r="E6" s="404" t="s">
        <v>130</v>
      </c>
      <c r="F6" s="367"/>
      <c r="G6" s="367"/>
      <c r="H6" s="367"/>
    </row>
    <row r="7" spans="1:8">
      <c r="A7" s="402" t="s">
        <v>107</v>
      </c>
      <c r="B7" s="402" t="s">
        <v>32</v>
      </c>
      <c r="C7" s="402" t="s">
        <v>104</v>
      </c>
      <c r="D7" s="405"/>
      <c r="E7" s="404" t="s">
        <v>128</v>
      </c>
      <c r="F7" s="367"/>
      <c r="G7" s="367"/>
      <c r="H7" s="367"/>
    </row>
    <row r="8" spans="1:8">
      <c r="A8" s="402" t="s">
        <v>105</v>
      </c>
      <c r="B8" s="402" t="s">
        <v>32</v>
      </c>
      <c r="C8" s="402" t="s">
        <v>104</v>
      </c>
      <c r="D8" s="405"/>
      <c r="E8" s="404" t="s">
        <v>126</v>
      </c>
      <c r="F8" s="367"/>
      <c r="G8" s="367"/>
      <c r="H8" s="367"/>
    </row>
    <row r="9" spans="1:8">
      <c r="A9" s="406"/>
      <c r="B9" s="406"/>
      <c r="C9" s="406"/>
      <c r="D9" s="406"/>
      <c r="E9" s="407"/>
      <c r="F9" s="367"/>
      <c r="G9" s="367"/>
      <c r="H9" s="367"/>
    </row>
    <row r="10" spans="1:8">
      <c r="A10" s="364" t="s">
        <v>481</v>
      </c>
      <c r="B10" s="371"/>
      <c r="C10" s="371"/>
      <c r="D10" s="371"/>
      <c r="E10" s="372"/>
      <c r="F10" s="367"/>
      <c r="G10" s="367"/>
      <c r="H10" s="367"/>
    </row>
    <row r="11" spans="1:8">
      <c r="A11" s="408" t="s">
        <v>102</v>
      </c>
      <c r="B11" s="371"/>
      <c r="C11" s="371"/>
      <c r="D11" s="371"/>
      <c r="E11" s="372"/>
      <c r="F11" s="367"/>
      <c r="G11" s="367"/>
      <c r="H11" s="367"/>
    </row>
    <row r="12" spans="1:8">
      <c r="A12" s="409" t="s">
        <v>101</v>
      </c>
      <c r="B12" s="410" t="s">
        <v>100</v>
      </c>
      <c r="C12" s="410" t="s">
        <v>99</v>
      </c>
      <c r="D12" s="380"/>
      <c r="E12" s="411" t="s">
        <v>124</v>
      </c>
      <c r="F12" s="382" t="s">
        <v>29</v>
      </c>
      <c r="G12" s="367"/>
      <c r="H12" s="367"/>
    </row>
    <row r="13" spans="1:8">
      <c r="A13" s="412"/>
      <c r="B13" s="413" t="s">
        <v>23</v>
      </c>
      <c r="C13" s="413" t="s">
        <v>97</v>
      </c>
      <c r="D13" s="384"/>
      <c r="E13" s="385"/>
      <c r="F13" s="367"/>
      <c r="G13" s="367"/>
      <c r="H13" s="367"/>
    </row>
    <row r="14" spans="1:8">
      <c r="A14" s="402" t="s">
        <v>96</v>
      </c>
      <c r="B14" s="402" t="s">
        <v>23</v>
      </c>
      <c r="C14" s="402" t="s">
        <v>22</v>
      </c>
      <c r="D14" s="403"/>
      <c r="E14" s="404" t="s">
        <v>122</v>
      </c>
      <c r="F14" s="367"/>
      <c r="G14" s="367"/>
      <c r="H14" s="367"/>
    </row>
    <row r="15" spans="1:8">
      <c r="A15" s="409" t="s">
        <v>94</v>
      </c>
      <c r="B15" s="410" t="s">
        <v>66</v>
      </c>
      <c r="C15" s="410" t="s">
        <v>93</v>
      </c>
      <c r="D15" s="380"/>
      <c r="E15" s="411" t="s">
        <v>480</v>
      </c>
      <c r="F15" s="382" t="s">
        <v>29</v>
      </c>
      <c r="G15" s="367"/>
      <c r="H15" s="367"/>
    </row>
    <row r="16" spans="1:8">
      <c r="A16" s="412"/>
      <c r="B16" s="413" t="s">
        <v>61</v>
      </c>
      <c r="C16" s="413" t="s">
        <v>91</v>
      </c>
      <c r="D16" s="384"/>
      <c r="E16" s="385"/>
      <c r="F16" s="367"/>
      <c r="G16" s="367"/>
      <c r="H16" s="367"/>
    </row>
    <row r="17" spans="1:8">
      <c r="A17" s="409" t="s">
        <v>90</v>
      </c>
      <c r="B17" s="410" t="s">
        <v>66</v>
      </c>
      <c r="C17" s="410" t="s">
        <v>89</v>
      </c>
      <c r="D17" s="380"/>
      <c r="E17" s="411" t="s">
        <v>479</v>
      </c>
      <c r="F17" s="382" t="s">
        <v>29</v>
      </c>
      <c r="G17" s="367"/>
      <c r="H17" s="367"/>
    </row>
    <row r="18" spans="1:8">
      <c r="A18" s="412"/>
      <c r="B18" s="413" t="s">
        <v>61</v>
      </c>
      <c r="C18" s="413" t="s">
        <v>478</v>
      </c>
      <c r="D18" s="384"/>
      <c r="E18" s="385"/>
      <c r="F18" s="367"/>
      <c r="G18" s="367"/>
      <c r="H18" s="367"/>
    </row>
    <row r="19" spans="1:8">
      <c r="A19" s="400" t="s">
        <v>86</v>
      </c>
      <c r="B19" s="400" t="s">
        <v>61</v>
      </c>
      <c r="C19" s="400" t="s">
        <v>85</v>
      </c>
      <c r="D19" s="371"/>
      <c r="E19" s="401" t="s">
        <v>477</v>
      </c>
      <c r="F19" s="367"/>
      <c r="G19" s="367"/>
      <c r="H19" s="367"/>
    </row>
    <row r="20" spans="1:8">
      <c r="A20" s="408" t="s">
        <v>83</v>
      </c>
      <c r="B20" s="371"/>
      <c r="C20" s="371"/>
      <c r="D20" s="414"/>
      <c r="E20" s="372"/>
      <c r="F20" s="367"/>
      <c r="G20" s="367"/>
      <c r="H20" s="367"/>
    </row>
    <row r="21" spans="1:8">
      <c r="A21" s="400" t="s">
        <v>82</v>
      </c>
      <c r="B21" s="400" t="s">
        <v>61</v>
      </c>
      <c r="C21" s="400" t="s">
        <v>81</v>
      </c>
      <c r="D21" s="371"/>
      <c r="E21" s="401" t="s">
        <v>476</v>
      </c>
      <c r="F21" s="367"/>
      <c r="G21" s="367"/>
      <c r="H21" s="367"/>
    </row>
    <row r="22" spans="1:8">
      <c r="A22" s="400" t="s">
        <v>79</v>
      </c>
      <c r="B22" s="400" t="s">
        <v>61</v>
      </c>
      <c r="C22" s="400" t="s">
        <v>78</v>
      </c>
      <c r="D22" s="371"/>
      <c r="E22" s="401" t="s">
        <v>475</v>
      </c>
      <c r="F22" s="367"/>
      <c r="G22" s="367"/>
      <c r="H22" s="367"/>
    </row>
    <row r="23" spans="1:8">
      <c r="A23" s="409" t="s">
        <v>76</v>
      </c>
      <c r="B23" s="410" t="s">
        <v>75</v>
      </c>
      <c r="C23" s="410" t="s">
        <v>74</v>
      </c>
      <c r="D23" s="380"/>
      <c r="E23" s="411" t="s">
        <v>474</v>
      </c>
      <c r="F23" s="382" t="s">
        <v>29</v>
      </c>
      <c r="G23" s="367"/>
      <c r="H23" s="367"/>
    </row>
    <row r="24" spans="1:8">
      <c r="A24" s="412"/>
      <c r="B24" s="413" t="s">
        <v>61</v>
      </c>
      <c r="C24" s="413" t="s">
        <v>72</v>
      </c>
      <c r="D24" s="384"/>
      <c r="E24" s="385"/>
      <c r="F24" s="367"/>
      <c r="G24" s="367"/>
      <c r="H24" s="367"/>
    </row>
    <row r="25" spans="1:8">
      <c r="A25" s="409" t="s">
        <v>71</v>
      </c>
      <c r="B25" s="410" t="s">
        <v>66</v>
      </c>
      <c r="C25" s="410" t="s">
        <v>70</v>
      </c>
      <c r="D25" s="386"/>
      <c r="E25" s="411" t="s">
        <v>473</v>
      </c>
      <c r="F25" s="382" t="s">
        <v>29</v>
      </c>
      <c r="G25" s="367"/>
      <c r="H25" s="367"/>
    </row>
    <row r="26" spans="1:8">
      <c r="A26" s="415"/>
      <c r="B26" s="413" t="s">
        <v>61</v>
      </c>
      <c r="C26" s="413" t="s">
        <v>68</v>
      </c>
      <c r="D26" s="388"/>
      <c r="E26" s="389"/>
      <c r="F26" s="367"/>
      <c r="G26" s="367"/>
      <c r="H26" s="367"/>
    </row>
    <row r="27" spans="1:8">
      <c r="A27" s="409" t="s">
        <v>67</v>
      </c>
      <c r="B27" s="410" t="s">
        <v>66</v>
      </c>
      <c r="C27" s="410" t="s">
        <v>65</v>
      </c>
      <c r="D27" s="416"/>
      <c r="E27" s="411" t="s">
        <v>472</v>
      </c>
      <c r="F27" s="382" t="s">
        <v>29</v>
      </c>
      <c r="G27" s="367"/>
      <c r="H27" s="367"/>
    </row>
    <row r="28" spans="1:8">
      <c r="A28" s="415"/>
      <c r="B28" s="413" t="s">
        <v>61</v>
      </c>
      <c r="C28" s="413" t="s">
        <v>63</v>
      </c>
      <c r="D28" s="417"/>
      <c r="E28" s="389"/>
      <c r="F28" s="367"/>
      <c r="G28" s="367"/>
      <c r="H28" s="367"/>
    </row>
    <row r="29" spans="1:8">
      <c r="A29" s="402" t="s">
        <v>62</v>
      </c>
      <c r="B29" s="402" t="s">
        <v>61</v>
      </c>
      <c r="C29" s="418" t="s">
        <v>471</v>
      </c>
      <c r="D29" s="405"/>
      <c r="E29" s="404" t="s">
        <v>124</v>
      </c>
      <c r="F29" s="367"/>
      <c r="G29" s="367"/>
      <c r="H29" s="367"/>
    </row>
    <row r="30" spans="1:8">
      <c r="A30" s="408" t="s">
        <v>58</v>
      </c>
      <c r="B30" s="371"/>
      <c r="C30" s="371"/>
      <c r="D30" s="419"/>
      <c r="E30" s="372"/>
      <c r="F30" s="367"/>
      <c r="G30" s="367"/>
      <c r="H30" s="367"/>
    </row>
    <row r="31" spans="1:8">
      <c r="A31" s="402" t="s">
        <v>57</v>
      </c>
      <c r="B31" s="402" t="s">
        <v>38</v>
      </c>
      <c r="C31" s="402" t="s">
        <v>56</v>
      </c>
      <c r="D31" s="405"/>
      <c r="E31" s="404" t="s">
        <v>470</v>
      </c>
      <c r="F31" s="367"/>
      <c r="G31" s="367"/>
      <c r="H31" s="367"/>
    </row>
    <row r="32" spans="1:8">
      <c r="A32" s="402" t="s">
        <v>54</v>
      </c>
      <c r="B32" s="402" t="s">
        <v>38</v>
      </c>
      <c r="C32" s="402" t="s">
        <v>53</v>
      </c>
      <c r="D32" s="405"/>
      <c r="E32" s="404" t="s">
        <v>469</v>
      </c>
      <c r="F32" s="367"/>
      <c r="G32" s="367"/>
      <c r="H32" s="367"/>
    </row>
    <row r="33" spans="1:8">
      <c r="A33" s="402" t="s">
        <v>51</v>
      </c>
      <c r="B33" s="402" t="s">
        <v>38</v>
      </c>
      <c r="C33" s="402" t="s">
        <v>50</v>
      </c>
      <c r="D33" s="405"/>
      <c r="E33" s="404" t="s">
        <v>468</v>
      </c>
      <c r="F33" s="367"/>
      <c r="G33" s="367"/>
      <c r="H33" s="367"/>
    </row>
    <row r="34" spans="1:8">
      <c r="A34" s="402" t="s">
        <v>48</v>
      </c>
      <c r="B34" s="402" t="s">
        <v>38</v>
      </c>
      <c r="C34" s="402" t="s">
        <v>47</v>
      </c>
      <c r="D34" s="405"/>
      <c r="E34" s="404" t="s">
        <v>467</v>
      </c>
      <c r="F34" s="367"/>
      <c r="G34" s="367"/>
      <c r="H34" s="367"/>
    </row>
    <row r="35" spans="1:8">
      <c r="A35" s="402" t="s">
        <v>45</v>
      </c>
      <c r="B35" s="402" t="s">
        <v>38</v>
      </c>
      <c r="C35" s="418" t="s">
        <v>44</v>
      </c>
      <c r="D35" s="405"/>
      <c r="E35" s="404" t="s">
        <v>466</v>
      </c>
      <c r="F35" s="367"/>
      <c r="G35" s="367"/>
      <c r="H35" s="367"/>
    </row>
    <row r="36" spans="1:8">
      <c r="A36" s="402" t="s">
        <v>42</v>
      </c>
      <c r="B36" s="402" t="s">
        <v>38</v>
      </c>
      <c r="C36" s="402" t="s">
        <v>41</v>
      </c>
      <c r="D36" s="405"/>
      <c r="E36" s="404" t="s">
        <v>465</v>
      </c>
      <c r="F36" s="367"/>
      <c r="G36" s="367"/>
      <c r="H36" s="367"/>
    </row>
    <row r="37" spans="1:8">
      <c r="A37" s="402" t="s">
        <v>39</v>
      </c>
      <c r="B37" s="402" t="s">
        <v>38</v>
      </c>
      <c r="C37" s="402" t="s">
        <v>37</v>
      </c>
      <c r="D37" s="405"/>
      <c r="E37" s="404" t="s">
        <v>136</v>
      </c>
      <c r="F37" s="367"/>
      <c r="G37" s="367"/>
      <c r="H37" s="367"/>
    </row>
    <row r="38" spans="1:8">
      <c r="A38" s="406"/>
      <c r="B38" s="406"/>
      <c r="C38" s="406"/>
      <c r="D38" s="406"/>
      <c r="E38" s="407"/>
      <c r="F38" s="367"/>
      <c r="G38" s="367"/>
      <c r="H38" s="367"/>
    </row>
    <row r="39" spans="1:8">
      <c r="A39" s="364" t="s">
        <v>464</v>
      </c>
      <c r="B39" s="371"/>
      <c r="C39" s="371"/>
      <c r="D39" s="419"/>
      <c r="E39" s="372"/>
      <c r="F39" s="367"/>
      <c r="G39" s="367"/>
      <c r="H39" s="367"/>
    </row>
    <row r="40" spans="1:8">
      <c r="A40" s="420" t="s">
        <v>35</v>
      </c>
      <c r="B40" s="421" t="s">
        <v>32</v>
      </c>
      <c r="C40" s="421" t="s">
        <v>31</v>
      </c>
      <c r="D40" s="422"/>
      <c r="E40" s="423" t="s">
        <v>463</v>
      </c>
      <c r="F40" s="382" t="s">
        <v>29</v>
      </c>
      <c r="G40" s="367"/>
      <c r="H40" s="367"/>
    </row>
    <row r="41" spans="1:8">
      <c r="A41" s="424"/>
      <c r="B41" s="425" t="s">
        <v>23</v>
      </c>
      <c r="C41" s="425" t="s">
        <v>22</v>
      </c>
      <c r="D41" s="426"/>
      <c r="E41" s="427"/>
      <c r="F41" s="367"/>
      <c r="G41" s="367"/>
      <c r="H41" s="367"/>
    </row>
    <row r="42" spans="1:8">
      <c r="A42" s="424"/>
      <c r="B42" s="425" t="s">
        <v>27</v>
      </c>
      <c r="C42" s="425" t="s">
        <v>462</v>
      </c>
      <c r="D42" s="426"/>
      <c r="E42" s="427"/>
      <c r="F42" s="367"/>
      <c r="G42" s="367"/>
      <c r="H42" s="367"/>
    </row>
    <row r="43" spans="1:8">
      <c r="A43" s="428"/>
      <c r="B43" s="429" t="s">
        <v>25</v>
      </c>
      <c r="C43" s="430"/>
      <c r="D43" s="431"/>
      <c r="E43" s="432"/>
      <c r="F43" s="367"/>
      <c r="G43" s="367"/>
      <c r="H43" s="367"/>
    </row>
    <row r="44" spans="1:8">
      <c r="A44" s="409" t="s">
        <v>33</v>
      </c>
      <c r="B44" s="410" t="s">
        <v>32</v>
      </c>
      <c r="C44" s="410" t="s">
        <v>31</v>
      </c>
      <c r="D44" s="386"/>
      <c r="E44" s="411" t="s">
        <v>121</v>
      </c>
      <c r="F44" s="382" t="s">
        <v>29</v>
      </c>
      <c r="G44" s="367"/>
      <c r="H44" s="367"/>
    </row>
    <row r="45" spans="1:8">
      <c r="A45" s="433"/>
      <c r="B45" s="400" t="s">
        <v>28</v>
      </c>
      <c r="C45" s="400" t="s">
        <v>22</v>
      </c>
      <c r="D45" s="371"/>
      <c r="E45" s="393"/>
      <c r="F45" s="367"/>
      <c r="G45" s="367"/>
      <c r="H45" s="367"/>
    </row>
    <row r="46" spans="1:8">
      <c r="A46" s="433"/>
      <c r="B46" s="400" t="s">
        <v>27</v>
      </c>
      <c r="C46" s="400" t="s">
        <v>462</v>
      </c>
      <c r="D46" s="371"/>
      <c r="E46" s="393"/>
      <c r="F46" s="367"/>
      <c r="G46" s="367"/>
      <c r="H46" s="367"/>
    </row>
    <row r="47" spans="1:8">
      <c r="A47" s="415"/>
      <c r="B47" s="413" t="s">
        <v>25</v>
      </c>
      <c r="C47" s="388"/>
      <c r="D47" s="388"/>
      <c r="E47" s="389"/>
      <c r="F47" s="367"/>
      <c r="G47" s="367"/>
      <c r="H47" s="367"/>
    </row>
    <row r="48" spans="1:8">
      <c r="A48" s="425" t="s">
        <v>24</v>
      </c>
      <c r="B48" s="425" t="s">
        <v>23</v>
      </c>
      <c r="C48" s="425" t="s">
        <v>22</v>
      </c>
      <c r="D48" s="434"/>
      <c r="E48" s="435" t="s">
        <v>461</v>
      </c>
      <c r="F48" s="396"/>
      <c r="G48" s="367"/>
      <c r="H48" s="367"/>
    </row>
    <row r="49" spans="1:8">
      <c r="A49" s="371"/>
      <c r="B49" s="371"/>
      <c r="C49" s="371"/>
      <c r="D49" s="367"/>
      <c r="E49" s="367"/>
      <c r="F49" s="367"/>
      <c r="G49" s="367"/>
      <c r="H49" s="367"/>
    </row>
  </sheetData>
  <pageMargins left="0.74791666666666667" right="0.74791666666666667" top="0.98402777777777772" bottom="0.98402777777777772" header="0.51180555555555551" footer="0.51180555555555551"/>
  <pageSetup paperSize="9" scale="60" firstPageNumber="0" orientation="landscape" horizontalDpi="300" verticalDpi="300"/>
  <headerFooter alignWithMargins="0"/>
  <colBreaks count="1" manualBreakCount="1">
    <brk id="5" max="1048575" man="1"/>
  </colBreaks>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enableFormatConditionsCalculation="0"/>
  <dimension ref="A1:N116"/>
  <sheetViews>
    <sheetView zoomScale="85" zoomScaleNormal="85" zoomScalePageLayoutView="85" workbookViewId="0">
      <selection activeCell="B7" sqref="B7"/>
    </sheetView>
  </sheetViews>
  <sheetFormatPr defaultColWidth="9.140625" defaultRowHeight="14.25"/>
  <cols>
    <col min="1" max="1" width="9.140625" style="333" customWidth="1"/>
    <col min="2" max="2" width="118.7109375" style="351" customWidth="1"/>
    <col min="3" max="3" width="11.7109375" style="350" customWidth="1"/>
    <col min="4" max="4" width="13.140625" style="349" customWidth="1"/>
    <col min="5" max="5" width="10.42578125" style="334" hidden="1" customWidth="1"/>
    <col min="6" max="6" width="11.28515625" style="333" hidden="1" customWidth="1"/>
    <col min="7" max="7" width="9.28515625" style="333" hidden="1" customWidth="1"/>
    <col min="8" max="13" width="0" style="333" hidden="1" customWidth="1"/>
    <col min="14" max="14" width="9.140625" style="333" customWidth="1"/>
    <col min="15" max="16384" width="9.140625" style="333"/>
  </cols>
  <sheetData>
    <row r="1" spans="1:14" ht="39" customHeight="1">
      <c r="A1" s="841"/>
      <c r="B1" s="875"/>
      <c r="C1" s="876"/>
      <c r="D1" s="877"/>
      <c r="E1" s="842"/>
      <c r="F1" s="841"/>
      <c r="G1" s="841"/>
      <c r="H1" s="841"/>
      <c r="I1" s="841"/>
      <c r="J1" s="841"/>
      <c r="K1" s="841"/>
      <c r="L1" s="841"/>
      <c r="M1" s="841"/>
      <c r="N1" s="841"/>
    </row>
    <row r="2" spans="1:14" ht="18">
      <c r="A2" s="841"/>
      <c r="B2" s="874" t="s">
        <v>1910</v>
      </c>
      <c r="C2" s="358" t="s">
        <v>1875</v>
      </c>
      <c r="D2" s="359"/>
      <c r="E2" s="436" t="s">
        <v>552</v>
      </c>
      <c r="F2" s="367"/>
      <c r="G2" s="367"/>
      <c r="H2" s="367"/>
      <c r="I2" s="367"/>
      <c r="J2" s="367"/>
      <c r="K2" s="367"/>
      <c r="L2" s="367"/>
      <c r="M2" s="367"/>
      <c r="N2" s="841"/>
    </row>
    <row r="3" spans="1:14" ht="15">
      <c r="A3" s="841"/>
      <c r="B3" s="357" t="s">
        <v>1912</v>
      </c>
      <c r="C3" s="884"/>
      <c r="D3" s="885" t="s">
        <v>1911</v>
      </c>
      <c r="E3" s="437" t="s">
        <v>106</v>
      </c>
      <c r="F3" s="438"/>
      <c r="G3" s="438"/>
      <c r="H3" s="438"/>
      <c r="I3" s="438"/>
      <c r="J3" s="367"/>
      <c r="K3" s="367"/>
      <c r="L3" s="367"/>
      <c r="M3" s="367"/>
      <c r="N3" s="841"/>
    </row>
    <row r="4" spans="1:14" ht="15">
      <c r="A4" s="841"/>
      <c r="B4" s="357" t="s">
        <v>1914</v>
      </c>
      <c r="C4" s="884"/>
      <c r="D4" s="885" t="s">
        <v>1911</v>
      </c>
      <c r="E4" s="437" t="s">
        <v>103</v>
      </c>
      <c r="F4" s="438"/>
      <c r="G4" s="438"/>
      <c r="H4" s="438"/>
      <c r="I4" s="438"/>
      <c r="J4" s="367"/>
      <c r="K4" s="367"/>
      <c r="L4" s="367"/>
      <c r="M4" s="367"/>
      <c r="N4" s="841"/>
    </row>
    <row r="5" spans="1:14" ht="15">
      <c r="A5" s="841"/>
      <c r="B5" s="357" t="s">
        <v>1915</v>
      </c>
      <c r="C5" s="884"/>
      <c r="D5" s="885" t="s">
        <v>1911</v>
      </c>
      <c r="E5" s="437" t="s">
        <v>98</v>
      </c>
      <c r="F5" s="438"/>
      <c r="G5" s="438"/>
      <c r="H5" s="438"/>
      <c r="I5" s="438"/>
      <c r="J5" s="367"/>
      <c r="K5" s="367"/>
      <c r="L5" s="367"/>
      <c r="M5" s="367"/>
      <c r="N5" s="841"/>
    </row>
    <row r="6" spans="1:14" ht="18.75">
      <c r="A6" s="841"/>
      <c r="B6" s="357" t="s">
        <v>1972</v>
      </c>
      <c r="C6" s="884"/>
      <c r="D6" s="885" t="s">
        <v>1911</v>
      </c>
      <c r="E6" s="437" t="s">
        <v>95</v>
      </c>
      <c r="F6" s="438"/>
      <c r="G6" s="438"/>
      <c r="H6" s="438"/>
      <c r="I6" s="362" t="s">
        <v>633</v>
      </c>
      <c r="J6" s="367"/>
      <c r="K6" s="367"/>
      <c r="L6" s="367"/>
      <c r="M6" s="367"/>
      <c r="N6" s="841"/>
    </row>
    <row r="7" spans="1:14" ht="15">
      <c r="A7" s="841"/>
      <c r="B7" s="357" t="s">
        <v>1916</v>
      </c>
      <c r="C7" s="884"/>
      <c r="D7" s="885" t="s">
        <v>1911</v>
      </c>
      <c r="E7" s="437" t="s">
        <v>92</v>
      </c>
      <c r="F7" s="438"/>
      <c r="G7" s="438"/>
      <c r="H7" s="438"/>
      <c r="I7" s="438"/>
      <c r="J7" s="367"/>
      <c r="K7" s="367"/>
      <c r="L7" s="367"/>
      <c r="M7" s="367"/>
      <c r="N7" s="841"/>
    </row>
    <row r="8" spans="1:14" ht="15">
      <c r="A8" s="841"/>
      <c r="B8" s="357" t="s">
        <v>1917</v>
      </c>
      <c r="C8" s="884"/>
      <c r="D8" s="885" t="s">
        <v>1911</v>
      </c>
      <c r="E8" s="437" t="s">
        <v>88</v>
      </c>
      <c r="F8" s="438"/>
      <c r="G8" s="438"/>
      <c r="H8" s="438"/>
      <c r="I8" s="438"/>
      <c r="J8" s="367"/>
      <c r="K8" s="367"/>
      <c r="L8" s="367"/>
      <c r="M8" s="367"/>
      <c r="N8" s="841"/>
    </row>
    <row r="9" spans="1:14" ht="15">
      <c r="A9" s="841"/>
      <c r="B9" s="357" t="s">
        <v>1918</v>
      </c>
      <c r="C9" s="884"/>
      <c r="D9" s="885" t="s">
        <v>1911</v>
      </c>
      <c r="E9" s="437" t="s">
        <v>84</v>
      </c>
      <c r="F9" s="438"/>
      <c r="G9" s="438"/>
      <c r="H9" s="438"/>
      <c r="I9" s="438"/>
      <c r="J9" s="367"/>
      <c r="K9" s="367"/>
      <c r="L9" s="367"/>
      <c r="M9" s="367"/>
      <c r="N9" s="841"/>
    </row>
    <row r="10" spans="1:14" ht="15">
      <c r="A10" s="841"/>
      <c r="B10" s="357" t="s">
        <v>1959</v>
      </c>
      <c r="C10" s="886" t="s">
        <v>951</v>
      </c>
      <c r="D10" s="887" t="s">
        <v>984</v>
      </c>
      <c r="E10" s="437" t="s">
        <v>108</v>
      </c>
      <c r="F10" s="438"/>
      <c r="G10" s="438"/>
      <c r="H10" s="438"/>
      <c r="I10" s="438"/>
      <c r="J10" s="367"/>
      <c r="K10" s="367"/>
      <c r="L10" s="367"/>
      <c r="M10" s="367"/>
      <c r="N10" s="841"/>
    </row>
    <row r="11" spans="1:14" ht="15">
      <c r="A11" s="841"/>
      <c r="B11" s="357" t="s">
        <v>1920</v>
      </c>
      <c r="C11" s="884"/>
      <c r="D11" s="888"/>
      <c r="E11" s="437" t="s">
        <v>114</v>
      </c>
      <c r="F11" s="439" t="s">
        <v>543</v>
      </c>
      <c r="G11" s="438"/>
      <c r="H11" s="438"/>
      <c r="I11" s="438"/>
      <c r="J11" s="367"/>
      <c r="K11" s="367"/>
      <c r="L11" s="367"/>
      <c r="M11" s="367"/>
      <c r="N11" s="841"/>
    </row>
    <row r="12" spans="1:14" ht="30">
      <c r="A12" s="841"/>
      <c r="B12" s="357" t="s">
        <v>1919</v>
      </c>
      <c r="C12" s="884"/>
      <c r="D12" s="888"/>
      <c r="E12" s="437" t="s">
        <v>112</v>
      </c>
      <c r="F12" s="439" t="s">
        <v>551</v>
      </c>
      <c r="G12" s="438"/>
      <c r="H12" s="438"/>
      <c r="I12" s="438"/>
      <c r="J12" s="367"/>
      <c r="K12" s="367"/>
      <c r="L12" s="367"/>
      <c r="M12" s="367"/>
      <c r="N12" s="841"/>
    </row>
    <row r="13" spans="1:14">
      <c r="A13" s="841"/>
      <c r="B13" s="357" t="s">
        <v>1913</v>
      </c>
      <c r="C13" s="884"/>
      <c r="D13" s="888"/>
      <c r="E13" s="437" t="s">
        <v>550</v>
      </c>
      <c r="F13" s="439" t="s">
        <v>543</v>
      </c>
      <c r="G13" s="438"/>
      <c r="H13" s="438"/>
      <c r="I13" s="438"/>
      <c r="J13" s="367"/>
      <c r="K13" s="367"/>
      <c r="L13" s="367"/>
      <c r="M13" s="367"/>
      <c r="N13" s="841"/>
    </row>
    <row r="14" spans="1:14">
      <c r="A14" s="841"/>
      <c r="B14" s="357" t="s">
        <v>1921</v>
      </c>
      <c r="C14" s="884"/>
      <c r="D14" s="885" t="s">
        <v>985</v>
      </c>
      <c r="E14" s="437" t="s">
        <v>110</v>
      </c>
      <c r="F14" s="439" t="s">
        <v>549</v>
      </c>
      <c r="G14" s="438"/>
      <c r="H14" s="438"/>
      <c r="I14" s="438"/>
      <c r="J14" s="367"/>
      <c r="K14" s="367"/>
      <c r="L14" s="367"/>
      <c r="M14" s="367"/>
      <c r="N14" s="841"/>
    </row>
    <row r="15" spans="1:14">
      <c r="A15" s="841"/>
      <c r="B15" s="357" t="s">
        <v>1922</v>
      </c>
      <c r="C15" s="884"/>
      <c r="D15" s="885" t="s">
        <v>548</v>
      </c>
      <c r="E15" s="437" t="s">
        <v>80</v>
      </c>
      <c r="F15" s="438"/>
      <c r="G15" s="438"/>
      <c r="H15" s="438"/>
      <c r="I15" s="438"/>
      <c r="J15" s="367"/>
      <c r="K15" s="367"/>
      <c r="L15" s="367"/>
      <c r="M15" s="367"/>
      <c r="N15" s="841"/>
    </row>
    <row r="16" spans="1:14">
      <c r="A16" s="841"/>
      <c r="B16" s="357" t="s">
        <v>1923</v>
      </c>
      <c r="C16" s="884"/>
      <c r="D16" s="885" t="s">
        <v>548</v>
      </c>
      <c r="E16" s="437" t="s">
        <v>77</v>
      </c>
      <c r="F16" s="438"/>
      <c r="G16" s="438"/>
      <c r="H16" s="438"/>
      <c r="I16" s="438"/>
      <c r="J16" s="367"/>
      <c r="K16" s="367"/>
      <c r="L16" s="367"/>
      <c r="M16" s="367"/>
      <c r="N16" s="841"/>
    </row>
    <row r="17" spans="1:14">
      <c r="A17" s="841"/>
      <c r="B17" s="357" t="s">
        <v>1924</v>
      </c>
      <c r="C17" s="884"/>
      <c r="D17" s="885" t="s">
        <v>548</v>
      </c>
      <c r="E17" s="437" t="s">
        <v>73</v>
      </c>
      <c r="F17" s="438"/>
      <c r="G17" s="438"/>
      <c r="H17" s="438"/>
      <c r="I17" s="438"/>
      <c r="J17" s="367"/>
      <c r="K17" s="367"/>
      <c r="L17" s="367"/>
      <c r="M17" s="367"/>
      <c r="N17" s="841"/>
    </row>
    <row r="18" spans="1:14">
      <c r="A18" s="841"/>
      <c r="B18" s="357" t="s">
        <v>1925</v>
      </c>
      <c r="C18" s="884"/>
      <c r="D18" s="885" t="s">
        <v>342</v>
      </c>
      <c r="E18" s="437" t="s">
        <v>69</v>
      </c>
      <c r="F18" s="438"/>
      <c r="G18" s="438"/>
      <c r="H18" s="438"/>
      <c r="I18" s="438"/>
      <c r="J18" s="367"/>
      <c r="K18" s="367"/>
      <c r="L18" s="367"/>
      <c r="M18" s="367"/>
      <c r="N18" s="841"/>
    </row>
    <row r="19" spans="1:14">
      <c r="A19" s="841"/>
      <c r="B19" s="357" t="s">
        <v>1926</v>
      </c>
      <c r="C19" s="884"/>
      <c r="D19" s="885" t="s">
        <v>342</v>
      </c>
      <c r="E19" s="437" t="s">
        <v>64</v>
      </c>
      <c r="F19" s="438"/>
      <c r="G19" s="438"/>
      <c r="H19" s="438"/>
      <c r="I19" s="438"/>
      <c r="J19" s="367"/>
      <c r="K19" s="367"/>
      <c r="L19" s="367"/>
      <c r="M19" s="367"/>
      <c r="N19" s="841"/>
    </row>
    <row r="20" spans="1:14">
      <c r="A20" s="841"/>
      <c r="B20" s="357" t="s">
        <v>1927</v>
      </c>
      <c r="C20" s="886">
        <f>'2-Algemene gegevens'!F13</f>
        <v>0</v>
      </c>
      <c r="D20" s="885" t="s">
        <v>342</v>
      </c>
      <c r="E20" s="437" t="s">
        <v>59</v>
      </c>
      <c r="F20" s="438"/>
      <c r="G20" s="438"/>
      <c r="H20" s="438"/>
      <c r="I20" s="438"/>
      <c r="J20" s="367"/>
      <c r="K20" s="367"/>
      <c r="L20" s="367"/>
      <c r="M20" s="367"/>
      <c r="N20" s="841"/>
    </row>
    <row r="21" spans="1:14">
      <c r="A21" s="841"/>
      <c r="B21" s="357" t="s">
        <v>1928</v>
      </c>
      <c r="C21" s="884"/>
      <c r="D21" s="885" t="s">
        <v>342</v>
      </c>
      <c r="E21" s="437" t="s">
        <v>547</v>
      </c>
      <c r="F21" s="440"/>
      <c r="G21" s="438"/>
      <c r="H21" s="438"/>
      <c r="I21" s="438"/>
      <c r="J21" s="367"/>
      <c r="K21" s="367"/>
      <c r="L21" s="367"/>
      <c r="M21" s="367"/>
      <c r="N21" s="841"/>
    </row>
    <row r="22" spans="1:14">
      <c r="A22" s="841"/>
      <c r="B22" s="357" t="s">
        <v>1929</v>
      </c>
      <c r="C22" s="884"/>
      <c r="D22" s="885" t="s">
        <v>342</v>
      </c>
      <c r="E22" s="437" t="s">
        <v>52</v>
      </c>
      <c r="F22" s="438"/>
      <c r="G22" s="438"/>
      <c r="H22" s="438"/>
      <c r="I22" s="438"/>
      <c r="J22" s="367"/>
      <c r="K22" s="367"/>
      <c r="L22" s="367"/>
      <c r="M22" s="367"/>
      <c r="N22" s="841"/>
    </row>
    <row r="23" spans="1:14" ht="15">
      <c r="A23" s="841"/>
      <c r="B23" s="357" t="s">
        <v>1930</v>
      </c>
      <c r="C23" s="884"/>
      <c r="D23" s="885" t="s">
        <v>342</v>
      </c>
      <c r="E23" s="437" t="s">
        <v>49</v>
      </c>
      <c r="F23" s="438"/>
      <c r="G23" s="438"/>
      <c r="H23" s="438"/>
      <c r="I23" s="438"/>
      <c r="J23" s="367"/>
      <c r="K23" s="367"/>
      <c r="L23" s="367"/>
      <c r="M23" s="367"/>
      <c r="N23" s="841"/>
    </row>
    <row r="24" spans="1:14">
      <c r="A24" s="841"/>
      <c r="B24" s="357" t="s">
        <v>1931</v>
      </c>
      <c r="C24" s="884"/>
      <c r="D24" s="885" t="s">
        <v>342</v>
      </c>
      <c r="E24" s="437" t="s">
        <v>46</v>
      </c>
      <c r="F24" s="438"/>
      <c r="G24" s="438"/>
      <c r="H24" s="438"/>
      <c r="I24" s="438"/>
      <c r="J24" s="367"/>
      <c r="K24" s="367"/>
      <c r="L24" s="367"/>
      <c r="M24" s="367"/>
      <c r="N24" s="841"/>
    </row>
    <row r="25" spans="1:14" ht="15">
      <c r="A25" s="841"/>
      <c r="B25" s="357" t="s">
        <v>1932</v>
      </c>
      <c r="C25" s="884"/>
      <c r="D25" s="885" t="s">
        <v>342</v>
      </c>
      <c r="E25" s="437" t="s">
        <v>43</v>
      </c>
      <c r="F25" s="438"/>
      <c r="G25" s="438"/>
      <c r="H25" s="438"/>
      <c r="I25" s="438"/>
      <c r="J25" s="367"/>
      <c r="K25" s="367"/>
      <c r="L25" s="367"/>
      <c r="M25" s="367"/>
      <c r="N25" s="841"/>
    </row>
    <row r="26" spans="1:14" ht="15">
      <c r="A26" s="841"/>
      <c r="B26" s="357" t="s">
        <v>1933</v>
      </c>
      <c r="C26" s="884"/>
      <c r="D26" s="885" t="s">
        <v>342</v>
      </c>
      <c r="E26" s="437" t="s">
        <v>40</v>
      </c>
      <c r="F26" s="438"/>
      <c r="G26" s="438"/>
      <c r="H26" s="438"/>
      <c r="I26" s="438"/>
      <c r="J26" s="367"/>
      <c r="K26" s="367"/>
      <c r="L26" s="367"/>
      <c r="M26" s="367"/>
      <c r="N26" s="841"/>
    </row>
    <row r="27" spans="1:14" ht="28.5">
      <c r="A27" s="841"/>
      <c r="B27" s="357" t="s">
        <v>1934</v>
      </c>
      <c r="C27" s="884"/>
      <c r="D27" s="888"/>
      <c r="E27" s="437" t="s">
        <v>546</v>
      </c>
      <c r="F27" s="439" t="s">
        <v>545</v>
      </c>
      <c r="G27" s="438"/>
      <c r="H27" s="438"/>
      <c r="I27" s="438"/>
      <c r="J27" s="367"/>
      <c r="K27" s="367"/>
      <c r="L27" s="367"/>
      <c r="M27" s="367"/>
      <c r="N27" s="841"/>
    </row>
    <row r="28" spans="1:14">
      <c r="A28" s="841"/>
      <c r="B28" s="357" t="s">
        <v>1935</v>
      </c>
      <c r="C28" s="884"/>
      <c r="D28" s="888" t="s">
        <v>538</v>
      </c>
      <c r="E28" s="437" t="s">
        <v>36</v>
      </c>
      <c r="F28" s="438"/>
      <c r="G28" s="438"/>
      <c r="H28" s="438"/>
      <c r="I28" s="438"/>
      <c r="J28" s="367"/>
      <c r="K28" s="367"/>
      <c r="L28" s="367"/>
      <c r="M28" s="367"/>
      <c r="N28" s="841"/>
    </row>
    <row r="29" spans="1:14">
      <c r="A29" s="841"/>
      <c r="B29" s="357" t="s">
        <v>1936</v>
      </c>
      <c r="C29" s="884"/>
      <c r="D29" s="888" t="s">
        <v>538</v>
      </c>
      <c r="E29" s="437" t="s">
        <v>34</v>
      </c>
      <c r="F29" s="438"/>
      <c r="G29" s="438"/>
      <c r="H29" s="438"/>
      <c r="I29" s="438"/>
      <c r="J29" s="367"/>
      <c r="K29" s="367"/>
      <c r="L29" s="367"/>
      <c r="M29" s="367"/>
      <c r="N29" s="841"/>
    </row>
    <row r="30" spans="1:14">
      <c r="A30" s="841"/>
      <c r="B30" s="357" t="s">
        <v>1937</v>
      </c>
      <c r="C30" s="884"/>
      <c r="D30" s="888" t="s">
        <v>538</v>
      </c>
      <c r="E30" s="437" t="s">
        <v>30</v>
      </c>
      <c r="F30" s="438"/>
      <c r="G30" s="438"/>
      <c r="H30" s="438"/>
      <c r="I30" s="438"/>
      <c r="J30" s="367"/>
      <c r="K30" s="367"/>
      <c r="L30" s="367"/>
      <c r="M30" s="367"/>
      <c r="N30" s="841"/>
    </row>
    <row r="31" spans="1:14">
      <c r="A31" s="841"/>
      <c r="B31" s="357" t="s">
        <v>1938</v>
      </c>
      <c r="C31" s="884"/>
      <c r="D31" s="888" t="s">
        <v>538</v>
      </c>
      <c r="E31" s="437" t="s">
        <v>21</v>
      </c>
      <c r="F31" s="438"/>
      <c r="G31" s="438"/>
      <c r="H31" s="438"/>
      <c r="I31" s="438"/>
      <c r="J31" s="367"/>
      <c r="K31" s="367"/>
      <c r="L31" s="367"/>
      <c r="M31" s="367"/>
      <c r="N31" s="841"/>
    </row>
    <row r="32" spans="1:14">
      <c r="A32" s="841"/>
      <c r="B32" s="357" t="s">
        <v>1939</v>
      </c>
      <c r="C32" s="884"/>
      <c r="D32" s="888"/>
      <c r="E32" s="437" t="s">
        <v>544</v>
      </c>
      <c r="F32" s="439" t="s">
        <v>543</v>
      </c>
      <c r="G32" s="438"/>
      <c r="H32" s="438"/>
      <c r="I32" s="438"/>
      <c r="J32" s="367"/>
      <c r="K32" s="367"/>
      <c r="L32" s="367"/>
      <c r="M32" s="367"/>
      <c r="N32" s="841"/>
    </row>
    <row r="33" spans="1:14">
      <c r="A33" s="841"/>
      <c r="B33" s="357" t="s">
        <v>1940</v>
      </c>
      <c r="C33" s="884"/>
      <c r="D33" s="888" t="s">
        <v>538</v>
      </c>
      <c r="E33" s="437" t="s">
        <v>542</v>
      </c>
      <c r="F33" s="439" t="s">
        <v>539</v>
      </c>
      <c r="G33" s="438"/>
      <c r="H33" s="438"/>
      <c r="I33" s="438"/>
      <c r="J33" s="367"/>
      <c r="K33" s="367"/>
      <c r="L33" s="367"/>
      <c r="M33" s="367"/>
      <c r="N33" s="841"/>
    </row>
    <row r="34" spans="1:14">
      <c r="A34" s="841"/>
      <c r="B34" s="357" t="s">
        <v>1941</v>
      </c>
      <c r="C34" s="884"/>
      <c r="D34" s="888" t="s">
        <v>538</v>
      </c>
      <c r="E34" s="437" t="s">
        <v>541</v>
      </c>
      <c r="F34" s="439"/>
      <c r="G34" s="438"/>
      <c r="H34" s="438"/>
      <c r="I34" s="438"/>
      <c r="J34" s="367"/>
      <c r="K34" s="367"/>
      <c r="L34" s="367"/>
      <c r="M34" s="367"/>
      <c r="N34" s="841"/>
    </row>
    <row r="35" spans="1:14">
      <c r="A35" s="841"/>
      <c r="B35" s="357" t="s">
        <v>1942</v>
      </c>
      <c r="C35" s="889"/>
      <c r="D35" s="888" t="s">
        <v>538</v>
      </c>
      <c r="E35" s="441" t="s">
        <v>540</v>
      </c>
      <c r="F35" s="439" t="s">
        <v>539</v>
      </c>
      <c r="G35" s="438"/>
      <c r="H35" s="438"/>
      <c r="I35" s="438"/>
      <c r="J35" s="367"/>
      <c r="K35" s="367"/>
      <c r="L35" s="367"/>
      <c r="M35" s="367"/>
      <c r="N35" s="841"/>
    </row>
    <row r="36" spans="1:14">
      <c r="A36" s="841"/>
      <c r="B36" s="357" t="s">
        <v>1943</v>
      </c>
      <c r="C36" s="889"/>
      <c r="D36" s="888" t="s">
        <v>538</v>
      </c>
      <c r="E36" s="441" t="s">
        <v>537</v>
      </c>
      <c r="F36" s="438"/>
      <c r="G36" s="438"/>
      <c r="H36" s="438"/>
      <c r="I36" s="438"/>
      <c r="J36" s="367"/>
      <c r="K36" s="367"/>
      <c r="L36" s="367"/>
      <c r="M36" s="367"/>
      <c r="N36" s="841"/>
    </row>
    <row r="37" spans="1:14">
      <c r="A37" s="841"/>
      <c r="B37" s="877"/>
      <c r="C37" s="880"/>
      <c r="D37" s="881"/>
      <c r="E37" s="441"/>
      <c r="F37" s="438"/>
      <c r="G37" s="438"/>
      <c r="H37" s="438"/>
      <c r="I37" s="438"/>
      <c r="J37" s="367"/>
      <c r="K37" s="367"/>
      <c r="L37" s="367"/>
      <c r="M37" s="367"/>
      <c r="N37" s="841"/>
    </row>
    <row r="38" spans="1:14" ht="18.75" hidden="1">
      <c r="A38" s="841"/>
      <c r="B38" s="444" t="s">
        <v>20</v>
      </c>
      <c r="C38" s="362" t="s">
        <v>633</v>
      </c>
      <c r="D38" s="438"/>
      <c r="E38" s="398"/>
      <c r="F38" s="367"/>
      <c r="G38" s="367"/>
      <c r="H38" s="367"/>
      <c r="I38" s="367"/>
      <c r="J38" s="367"/>
      <c r="K38" s="367"/>
      <c r="L38" s="367"/>
      <c r="M38" s="367"/>
      <c r="N38" s="841"/>
    </row>
    <row r="39" spans="1:14" ht="15" hidden="1">
      <c r="A39" s="841"/>
      <c r="B39" s="446" t="s">
        <v>625</v>
      </c>
      <c r="C39" s="445"/>
      <c r="D39" s="438"/>
      <c r="E39" s="398"/>
      <c r="F39" s="367"/>
      <c r="G39" s="367"/>
      <c r="H39" s="367"/>
      <c r="I39" s="367"/>
      <c r="J39" s="367"/>
      <c r="K39" s="367"/>
      <c r="L39" s="367"/>
      <c r="M39" s="367"/>
      <c r="N39" s="841"/>
    </row>
    <row r="40" spans="1:14" hidden="1">
      <c r="A40" s="841"/>
      <c r="B40" s="442" t="s">
        <v>536</v>
      </c>
      <c r="C40" s="443" t="e">
        <f>+C10*0.5*120*365/1000</f>
        <v>#VALUE!</v>
      </c>
      <c r="D40" s="438"/>
      <c r="E40" s="441"/>
      <c r="F40" s="367"/>
      <c r="G40" s="367"/>
      <c r="H40" s="367"/>
      <c r="I40" s="367"/>
      <c r="J40" s="367"/>
      <c r="K40" s="367"/>
      <c r="L40" s="367"/>
      <c r="M40" s="367"/>
      <c r="N40" s="841"/>
    </row>
    <row r="41" spans="1:14" hidden="1">
      <c r="A41" s="841"/>
      <c r="B41" s="442" t="s">
        <v>535</v>
      </c>
      <c r="C41" s="443">
        <f>+C3+C4+C5+C6+C7+C8</f>
        <v>0</v>
      </c>
      <c r="D41" s="438"/>
      <c r="E41" s="441"/>
      <c r="F41" s="367"/>
      <c r="G41" s="367"/>
      <c r="H41" s="367"/>
      <c r="I41" s="367"/>
      <c r="J41" s="367"/>
      <c r="K41" s="367"/>
      <c r="L41" s="367"/>
      <c r="M41" s="367"/>
      <c r="N41" s="841"/>
    </row>
    <row r="42" spans="1:14" ht="15" hidden="1">
      <c r="A42" s="841"/>
      <c r="B42" s="442" t="s">
        <v>534</v>
      </c>
      <c r="C42" s="447" t="e">
        <f>+IF((C40/2&gt;=C3),C43,C44)</f>
        <v>#VALUE!</v>
      </c>
      <c r="D42" s="448" t="s">
        <v>533</v>
      </c>
      <c r="E42" s="441"/>
      <c r="F42" s="367"/>
      <c r="G42" s="367"/>
      <c r="H42" s="367"/>
      <c r="I42" s="367"/>
      <c r="J42" s="367"/>
      <c r="K42" s="367"/>
      <c r="L42" s="367"/>
      <c r="M42" s="367"/>
      <c r="N42" s="841"/>
    </row>
    <row r="43" spans="1:14" hidden="1">
      <c r="A43" s="841"/>
      <c r="B43" s="442" t="s">
        <v>528</v>
      </c>
      <c r="C43" s="443" t="e">
        <f>1-((2.5*C4+C5-C9)/C41)</f>
        <v>#DIV/0!</v>
      </c>
      <c r="D43" s="438"/>
      <c r="E43" s="441"/>
      <c r="F43" s="367"/>
      <c r="G43" s="367"/>
      <c r="H43" s="367"/>
      <c r="I43" s="367"/>
      <c r="J43" s="367"/>
      <c r="K43" s="367"/>
      <c r="L43" s="367"/>
      <c r="M43" s="367"/>
      <c r="N43" s="841"/>
    </row>
    <row r="44" spans="1:14" hidden="1">
      <c r="A44" s="841"/>
      <c r="B44" s="442" t="s">
        <v>505</v>
      </c>
      <c r="C44" s="443" t="e">
        <f>1-((C3+2.5*C4+C5-0.5*C40-C9)/C41)</f>
        <v>#VALUE!</v>
      </c>
      <c r="D44" s="438"/>
      <c r="E44" s="441"/>
      <c r="F44" s="367"/>
      <c r="G44" s="367"/>
      <c r="H44" s="367"/>
      <c r="I44" s="367"/>
      <c r="J44" s="367"/>
      <c r="K44" s="367"/>
      <c r="L44" s="367"/>
      <c r="M44" s="367"/>
      <c r="N44" s="841"/>
    </row>
    <row r="45" spans="1:14" ht="15" hidden="1">
      <c r="A45" s="841"/>
      <c r="B45" s="449" t="s">
        <v>626</v>
      </c>
      <c r="C45" s="447" t="e">
        <f>+(C49+C55+C60+C64+C72)/5</f>
        <v>#DIV/0!</v>
      </c>
      <c r="D45" s="448" t="s">
        <v>532</v>
      </c>
      <c r="E45" s="441"/>
      <c r="F45" s="367"/>
      <c r="G45" s="367"/>
      <c r="H45" s="367"/>
      <c r="I45" s="367"/>
      <c r="J45" s="367"/>
      <c r="K45" s="367"/>
      <c r="L45" s="367"/>
      <c r="M45" s="367"/>
      <c r="N45" s="841"/>
    </row>
    <row r="46" spans="1:14" s="349" customFormat="1" ht="15" hidden="1">
      <c r="A46" s="877"/>
      <c r="B46" s="446" t="s">
        <v>627</v>
      </c>
      <c r="C46" s="443"/>
      <c r="D46" s="438"/>
      <c r="E46" s="441"/>
      <c r="F46" s="438"/>
      <c r="G46" s="438"/>
      <c r="H46" s="438"/>
      <c r="I46" s="438"/>
      <c r="J46" s="438"/>
      <c r="K46" s="438"/>
      <c r="L46" s="438"/>
      <c r="M46" s="438"/>
      <c r="N46" s="877"/>
    </row>
    <row r="47" spans="1:14" s="349" customFormat="1" hidden="1">
      <c r="A47" s="877"/>
      <c r="B47" s="442" t="s">
        <v>531</v>
      </c>
      <c r="C47" s="443">
        <f>+(C20+C21)/10000</f>
        <v>0</v>
      </c>
      <c r="D47" s="438"/>
      <c r="E47" s="441"/>
      <c r="F47" s="438"/>
      <c r="G47" s="438"/>
      <c r="H47" s="438"/>
      <c r="I47" s="438"/>
      <c r="J47" s="438"/>
      <c r="K47" s="438"/>
      <c r="L47" s="438"/>
      <c r="M47" s="438"/>
      <c r="N47" s="877"/>
    </row>
    <row r="48" spans="1:14" s="349" customFormat="1" hidden="1">
      <c r="A48" s="877"/>
      <c r="B48" s="442" t="s">
        <v>530</v>
      </c>
      <c r="C48" s="443" t="e">
        <f>+C14/C47</f>
        <v>#DIV/0!</v>
      </c>
      <c r="D48" s="438"/>
      <c r="E48" s="441"/>
      <c r="F48" s="438"/>
      <c r="G48" s="438"/>
      <c r="H48" s="438"/>
      <c r="I48" s="438"/>
      <c r="J48" s="438"/>
      <c r="K48" s="438"/>
      <c r="L48" s="438"/>
      <c r="M48" s="438"/>
      <c r="N48" s="877"/>
    </row>
    <row r="49" spans="1:14" s="349" customFormat="1" hidden="1">
      <c r="A49" s="877"/>
      <c r="B49" s="442"/>
      <c r="C49" s="450" t="e">
        <f>IF(AND(10&lt;C48,C48&lt;40,C13="ja"),C50,(IF(OR(C48&lt;10,C13="nee"),1,0)))</f>
        <v>#DIV/0!</v>
      </c>
      <c r="D49" s="438" t="s">
        <v>529</v>
      </c>
      <c r="E49" s="441"/>
      <c r="F49" s="438"/>
      <c r="G49" s="438"/>
      <c r="H49" s="438"/>
      <c r="I49" s="438"/>
      <c r="J49" s="438"/>
      <c r="K49" s="438"/>
      <c r="L49" s="438"/>
      <c r="M49" s="438"/>
      <c r="N49" s="877"/>
    </row>
    <row r="50" spans="1:14" s="349" customFormat="1" hidden="1">
      <c r="A50" s="877"/>
      <c r="B50" s="442" t="s">
        <v>528</v>
      </c>
      <c r="C50" s="443" t="e">
        <f>(40-C48)/30</f>
        <v>#DIV/0!</v>
      </c>
      <c r="D50" s="438"/>
      <c r="E50" s="441"/>
      <c r="F50" s="438"/>
      <c r="G50" s="438"/>
      <c r="H50" s="438"/>
      <c r="I50" s="438"/>
      <c r="J50" s="438"/>
      <c r="K50" s="438"/>
      <c r="L50" s="438"/>
      <c r="M50" s="438"/>
      <c r="N50" s="877"/>
    </row>
    <row r="51" spans="1:14" s="349" customFormat="1" ht="15" hidden="1">
      <c r="A51" s="877"/>
      <c r="B51" s="446" t="s">
        <v>628</v>
      </c>
      <c r="C51" s="443"/>
      <c r="D51" s="438"/>
      <c r="E51" s="441"/>
      <c r="F51" s="438"/>
      <c r="G51" s="438"/>
      <c r="H51" s="438"/>
      <c r="I51" s="438"/>
      <c r="J51" s="438"/>
      <c r="K51" s="438"/>
      <c r="L51" s="438"/>
      <c r="M51" s="438"/>
      <c r="N51" s="877"/>
    </row>
    <row r="52" spans="1:14" s="349" customFormat="1" hidden="1">
      <c r="A52" s="877"/>
      <c r="B52" s="442" t="s">
        <v>527</v>
      </c>
      <c r="C52" s="443" t="e">
        <f>+(C15+C16+C17)/C47</f>
        <v>#DIV/0!</v>
      </c>
      <c r="D52" s="440"/>
      <c r="E52" s="441"/>
      <c r="F52" s="438"/>
      <c r="G52" s="438"/>
      <c r="H52" s="438"/>
      <c r="I52" s="438"/>
      <c r="J52" s="438"/>
      <c r="K52" s="438"/>
      <c r="L52" s="438"/>
      <c r="M52" s="438"/>
      <c r="N52" s="877"/>
    </row>
    <row r="53" spans="1:14" s="349" customFormat="1" hidden="1">
      <c r="A53" s="877"/>
      <c r="B53" s="442" t="s">
        <v>526</v>
      </c>
      <c r="C53" s="443" t="e">
        <f>+C14/C47</f>
        <v>#DIV/0!</v>
      </c>
      <c r="D53" s="440"/>
      <c r="E53" s="441"/>
      <c r="F53" s="438"/>
      <c r="G53" s="438"/>
      <c r="H53" s="438"/>
      <c r="I53" s="438"/>
      <c r="J53" s="438"/>
      <c r="K53" s="438"/>
      <c r="L53" s="438"/>
      <c r="M53" s="438"/>
      <c r="N53" s="877"/>
    </row>
    <row r="54" spans="1:14" s="349" customFormat="1" hidden="1">
      <c r="A54" s="877"/>
      <c r="B54" s="442" t="s">
        <v>525</v>
      </c>
      <c r="C54" s="443" t="e">
        <f>IF(C27="lineair",LOOKUP(C53,K55:K64,L55:L64),LOOKUP(C53,K55:K64,M55:M64))</f>
        <v>#DIV/0!</v>
      </c>
      <c r="D54" s="438"/>
      <c r="E54" s="442"/>
      <c r="F54" s="443"/>
      <c r="G54" s="443"/>
      <c r="H54" s="438"/>
      <c r="I54" s="438"/>
      <c r="J54" s="438"/>
      <c r="K54" s="438"/>
      <c r="L54" s="438"/>
      <c r="M54" s="438"/>
      <c r="N54" s="877"/>
    </row>
    <row r="55" spans="1:14" s="349" customFormat="1" hidden="1">
      <c r="A55" s="877"/>
      <c r="B55" s="442" t="s">
        <v>524</v>
      </c>
      <c r="C55" s="450" t="e">
        <f>+IF(C52&gt;=C54,1,C56)</f>
        <v>#DIV/0!</v>
      </c>
      <c r="D55" s="438" t="s">
        <v>523</v>
      </c>
      <c r="E55" s="441"/>
      <c r="F55" s="443"/>
      <c r="G55" s="443"/>
      <c r="H55" s="438"/>
      <c r="I55" s="438"/>
      <c r="J55" s="438"/>
      <c r="K55" s="438">
        <v>1</v>
      </c>
      <c r="L55" s="438">
        <v>1137</v>
      </c>
      <c r="M55" s="438">
        <v>665</v>
      </c>
      <c r="N55" s="877"/>
    </row>
    <row r="56" spans="1:14" s="349" customFormat="1" hidden="1">
      <c r="A56" s="877"/>
      <c r="B56" s="442" t="s">
        <v>505</v>
      </c>
      <c r="C56" s="443" t="e">
        <f>+C52/C54</f>
        <v>#DIV/0!</v>
      </c>
      <c r="D56" s="438"/>
      <c r="E56" s="441"/>
      <c r="F56" s="443"/>
      <c r="G56" s="443"/>
      <c r="H56" s="438"/>
      <c r="I56" s="438"/>
      <c r="J56" s="438"/>
      <c r="K56" s="438">
        <v>2</v>
      </c>
      <c r="L56" s="438">
        <v>725</v>
      </c>
      <c r="M56" s="438">
        <v>547</v>
      </c>
      <c r="N56" s="877"/>
    </row>
    <row r="57" spans="1:14" s="349" customFormat="1" ht="15" hidden="1">
      <c r="A57" s="877"/>
      <c r="B57" s="446" t="s">
        <v>629</v>
      </c>
      <c r="C57" s="443"/>
      <c r="D57" s="438"/>
      <c r="E57" s="441"/>
      <c r="F57" s="443"/>
      <c r="G57" s="443"/>
      <c r="H57" s="438"/>
      <c r="I57" s="438"/>
      <c r="J57" s="438"/>
      <c r="K57" s="438">
        <v>5</v>
      </c>
      <c r="L57" s="438">
        <v>534</v>
      </c>
      <c r="M57" s="438">
        <v>410</v>
      </c>
      <c r="N57" s="877"/>
    </row>
    <row r="58" spans="1:14" s="349" customFormat="1" hidden="1">
      <c r="A58" s="877"/>
      <c r="B58" s="442" t="s">
        <v>517</v>
      </c>
      <c r="C58" s="443">
        <f>+C20+C21-C24-C23-C18</f>
        <v>0</v>
      </c>
      <c r="D58" s="438"/>
      <c r="E58" s="441"/>
      <c r="F58" s="443"/>
      <c r="G58" s="443"/>
      <c r="H58" s="438"/>
      <c r="I58" s="438"/>
      <c r="J58" s="438"/>
      <c r="K58" s="438">
        <v>10</v>
      </c>
      <c r="L58" s="438">
        <v>411</v>
      </c>
      <c r="M58" s="438">
        <v>324</v>
      </c>
      <c r="N58" s="877"/>
    </row>
    <row r="59" spans="1:14" s="349" customFormat="1" hidden="1">
      <c r="A59" s="877"/>
      <c r="B59" s="442" t="s">
        <v>522</v>
      </c>
      <c r="C59" s="443" t="e">
        <f>+C58/C19</f>
        <v>#DIV/0!</v>
      </c>
      <c r="D59" s="438"/>
      <c r="E59" s="441"/>
      <c r="F59" s="443"/>
      <c r="G59" s="443"/>
      <c r="H59" s="438"/>
      <c r="I59" s="438"/>
      <c r="J59" s="438"/>
      <c r="K59" s="438">
        <v>15</v>
      </c>
      <c r="L59" s="438">
        <v>359</v>
      </c>
      <c r="M59" s="438">
        <v>284</v>
      </c>
      <c r="N59" s="877"/>
    </row>
    <row r="60" spans="1:14" s="349" customFormat="1" hidden="1">
      <c r="A60" s="877"/>
      <c r="B60" s="442" t="s">
        <v>521</v>
      </c>
      <c r="C60" s="447" t="e">
        <f>+IF(C59&gt;0.5,0,C61)</f>
        <v>#DIV/0!</v>
      </c>
      <c r="D60" s="438" t="s">
        <v>520</v>
      </c>
      <c r="E60" s="441"/>
      <c r="F60" s="443"/>
      <c r="G60" s="443"/>
      <c r="H60" s="438"/>
      <c r="I60" s="438"/>
      <c r="J60" s="438"/>
      <c r="K60" s="438">
        <v>20</v>
      </c>
      <c r="L60" s="438">
        <v>313</v>
      </c>
      <c r="M60" s="438">
        <v>261</v>
      </c>
      <c r="N60" s="877"/>
    </row>
    <row r="61" spans="1:14" s="349" customFormat="1" hidden="1">
      <c r="A61" s="877"/>
      <c r="B61" s="442" t="s">
        <v>505</v>
      </c>
      <c r="C61" s="443" t="e">
        <f>1-(2*C58/C19)</f>
        <v>#DIV/0!</v>
      </c>
      <c r="D61" s="438"/>
      <c r="E61" s="441"/>
      <c r="F61" s="443"/>
      <c r="G61" s="443"/>
      <c r="H61" s="438"/>
      <c r="I61" s="438"/>
      <c r="J61" s="438"/>
      <c r="K61" s="438">
        <v>25</v>
      </c>
      <c r="L61" s="438">
        <v>294</v>
      </c>
      <c r="M61" s="438">
        <v>244</v>
      </c>
      <c r="N61" s="877"/>
    </row>
    <row r="62" spans="1:14" s="349" customFormat="1" ht="15" hidden="1">
      <c r="A62" s="877"/>
      <c r="B62" s="446" t="s">
        <v>630</v>
      </c>
      <c r="C62" s="443"/>
      <c r="D62" s="438"/>
      <c r="E62" s="441"/>
      <c r="F62" s="443"/>
      <c r="G62" s="443"/>
      <c r="H62" s="438"/>
      <c r="I62" s="438"/>
      <c r="J62" s="438"/>
      <c r="K62" s="438">
        <v>30</v>
      </c>
      <c r="L62" s="438">
        <v>279</v>
      </c>
      <c r="M62" s="438">
        <v>232</v>
      </c>
      <c r="N62" s="877"/>
    </row>
    <row r="63" spans="1:14" s="349" customFormat="1" hidden="1">
      <c r="A63" s="877"/>
      <c r="B63" s="442" t="s">
        <v>517</v>
      </c>
      <c r="C63" s="443">
        <f>+C28+0.9*C29+0.75*C30+0.5*C31</f>
        <v>0</v>
      </c>
      <c r="D63" s="438"/>
      <c r="E63" s="441"/>
      <c r="F63" s="443"/>
      <c r="G63" s="443"/>
      <c r="H63" s="438"/>
      <c r="I63" s="438"/>
      <c r="J63" s="438"/>
      <c r="K63" s="438">
        <v>40</v>
      </c>
      <c r="L63" s="438">
        <v>259</v>
      </c>
      <c r="M63" s="438">
        <v>207</v>
      </c>
      <c r="N63" s="877"/>
    </row>
    <row r="64" spans="1:14" s="349" customFormat="1" hidden="1">
      <c r="A64" s="877"/>
      <c r="B64" s="442" t="s">
        <v>519</v>
      </c>
      <c r="C64" s="450">
        <f>+IF(C63&gt;0.5,0,C65)</f>
        <v>1</v>
      </c>
      <c r="D64" s="438" t="s">
        <v>518</v>
      </c>
      <c r="E64" s="441"/>
      <c r="F64" s="438"/>
      <c r="G64" s="443"/>
      <c r="H64" s="438"/>
      <c r="I64" s="438"/>
      <c r="J64" s="438"/>
      <c r="K64" s="438">
        <v>50</v>
      </c>
      <c r="L64" s="438">
        <v>240</v>
      </c>
      <c r="M64" s="438">
        <v>188</v>
      </c>
      <c r="N64" s="877"/>
    </row>
    <row r="65" spans="1:14" s="349" customFormat="1" hidden="1">
      <c r="A65" s="877"/>
      <c r="B65" s="442" t="s">
        <v>505</v>
      </c>
      <c r="C65" s="443">
        <f>1-(2*C63)</f>
        <v>1</v>
      </c>
      <c r="D65" s="438"/>
      <c r="E65" s="352"/>
      <c r="N65" s="877"/>
    </row>
    <row r="66" spans="1:14" s="349" customFormat="1" ht="15" hidden="1">
      <c r="A66" s="877"/>
      <c r="B66" s="446" t="s">
        <v>631</v>
      </c>
      <c r="C66" s="443"/>
      <c r="D66" s="438"/>
      <c r="E66" s="352"/>
      <c r="N66" s="877"/>
    </row>
    <row r="67" spans="1:14" s="349" customFormat="1" hidden="1">
      <c r="A67" s="877"/>
      <c r="B67" s="442" t="s">
        <v>517</v>
      </c>
      <c r="C67" s="443" t="e">
        <f>+C23+C24+(C49*C55)*(C25+C68)+0.25*C69</f>
        <v>#DIV/0!</v>
      </c>
      <c r="D67" s="440"/>
      <c r="E67" s="352"/>
      <c r="N67" s="877"/>
    </row>
    <row r="68" spans="1:14" s="349" customFormat="1" hidden="1">
      <c r="A68" s="877"/>
      <c r="B68" s="442" t="s">
        <v>516</v>
      </c>
      <c r="C68" s="443">
        <f>+IF(AND(C11="ja",OR(C12="Y",C12="Z")),C26,0)</f>
        <v>0</v>
      </c>
      <c r="D68" s="438"/>
      <c r="E68" s="352"/>
      <c r="N68" s="877"/>
    </row>
    <row r="69" spans="1:14" s="349" customFormat="1" hidden="1">
      <c r="A69" s="877"/>
      <c r="B69" s="442" t="s">
        <v>515</v>
      </c>
      <c r="C69" s="443">
        <f>+IF(AND(C11="ja",C12="X"),C26,0)</f>
        <v>0</v>
      </c>
      <c r="D69" s="438"/>
      <c r="E69" s="352"/>
      <c r="N69" s="877"/>
    </row>
    <row r="70" spans="1:14" s="349" customFormat="1" hidden="1">
      <c r="A70" s="877"/>
      <c r="B70" s="442" t="s">
        <v>514</v>
      </c>
      <c r="C70" s="443">
        <f>+IF(C11="nee",C26,0)</f>
        <v>0</v>
      </c>
      <c r="D70" s="438"/>
      <c r="E70" s="352"/>
      <c r="N70" s="877"/>
    </row>
    <row r="71" spans="1:14" s="349" customFormat="1" hidden="1">
      <c r="A71" s="877"/>
      <c r="B71" s="442" t="s">
        <v>513</v>
      </c>
      <c r="C71" s="443">
        <f>+C23+C24+C25+C68+C69+C70</f>
        <v>0</v>
      </c>
      <c r="D71" s="438"/>
      <c r="E71" s="352"/>
      <c r="N71" s="877"/>
    </row>
    <row r="72" spans="1:14" s="349" customFormat="1" hidden="1">
      <c r="A72" s="877"/>
      <c r="B72" s="442" t="s">
        <v>512</v>
      </c>
      <c r="C72" s="450" t="e">
        <f>+C67/C71</f>
        <v>#DIV/0!</v>
      </c>
      <c r="D72" s="438" t="s">
        <v>511</v>
      </c>
      <c r="E72" s="352"/>
      <c r="N72" s="877"/>
    </row>
    <row r="73" spans="1:14" s="349" customFormat="1" ht="15" hidden="1">
      <c r="A73" s="877"/>
      <c r="B73" s="446" t="s">
        <v>632</v>
      </c>
      <c r="C73" s="443"/>
      <c r="D73" s="438"/>
      <c r="E73" s="352"/>
      <c r="N73" s="877"/>
    </row>
    <row r="74" spans="1:14" s="349" customFormat="1" hidden="1">
      <c r="A74" s="877"/>
      <c r="B74" s="442" t="s">
        <v>510</v>
      </c>
      <c r="C74" s="443">
        <f>+IF(C12="X",C34+C36,0)</f>
        <v>0</v>
      </c>
      <c r="D74" s="438"/>
      <c r="E74" s="352"/>
      <c r="N74" s="877"/>
    </row>
    <row r="75" spans="1:14" s="349" customFormat="1" hidden="1">
      <c r="A75" s="877"/>
      <c r="B75" s="442" t="s">
        <v>509</v>
      </c>
      <c r="C75" s="443">
        <f>+IF(C12="Y",C34+C36,0)</f>
        <v>0</v>
      </c>
      <c r="D75" s="438"/>
      <c r="E75" s="352"/>
      <c r="N75" s="877"/>
    </row>
    <row r="76" spans="1:14" s="349" customFormat="1" hidden="1">
      <c r="A76" s="877"/>
      <c r="B76" s="442" t="s">
        <v>508</v>
      </c>
      <c r="C76" s="443">
        <f>+IF(C12="Z",C34,0)</f>
        <v>0</v>
      </c>
      <c r="D76" s="438"/>
      <c r="E76" s="352"/>
      <c r="N76" s="877"/>
    </row>
    <row r="77" spans="1:14" s="349" customFormat="1" ht="15" hidden="1">
      <c r="A77" s="877"/>
      <c r="B77" s="442" t="s">
        <v>507</v>
      </c>
      <c r="C77" s="447">
        <f>+IF(C32="ja",0,C78)</f>
        <v>1</v>
      </c>
      <c r="D77" s="448" t="s">
        <v>506</v>
      </c>
      <c r="E77" s="352"/>
      <c r="N77" s="877"/>
    </row>
    <row r="78" spans="1:14" s="349" customFormat="1" hidden="1">
      <c r="A78" s="877"/>
      <c r="B78" s="442" t="s">
        <v>505</v>
      </c>
      <c r="C78" s="443">
        <f>1-(0.75*C74+0.5*C75+0.25*C76)</f>
        <v>1</v>
      </c>
      <c r="D78" s="438"/>
      <c r="E78" s="352"/>
      <c r="N78" s="877"/>
    </row>
    <row r="79" spans="1:14" s="349" customFormat="1" hidden="1">
      <c r="A79" s="877"/>
      <c r="B79" s="442"/>
      <c r="C79" s="443"/>
      <c r="D79" s="438"/>
      <c r="E79" s="352"/>
      <c r="N79" s="877"/>
    </row>
    <row r="80" spans="1:14" s="349" customFormat="1" ht="15.75">
      <c r="A80" s="877"/>
      <c r="B80" s="882" t="s">
        <v>1909</v>
      </c>
      <c r="C80" s="883" t="e">
        <f>+(C42+C45+C77)/3</f>
        <v>#VALUE!</v>
      </c>
      <c r="E80" s="352"/>
      <c r="N80" s="877"/>
    </row>
    <row r="81" spans="1:14" s="349" customFormat="1" ht="40.5" customHeight="1">
      <c r="A81" s="877"/>
      <c r="B81" s="878"/>
      <c r="C81" s="879"/>
      <c r="D81" s="877"/>
      <c r="E81" s="352"/>
      <c r="N81" s="877"/>
    </row>
    <row r="82" spans="1:14" s="890" customFormat="1">
      <c r="B82" s="891"/>
      <c r="C82" s="892"/>
      <c r="E82" s="893"/>
    </row>
    <row r="83" spans="1:14" s="890" customFormat="1">
      <c r="B83" s="891"/>
      <c r="C83" s="892"/>
      <c r="E83" s="893"/>
    </row>
    <row r="84" spans="1:14" s="349" customFormat="1">
      <c r="B84" s="354"/>
      <c r="C84" s="353"/>
      <c r="E84" s="352"/>
    </row>
    <row r="85" spans="1:14" s="349" customFormat="1">
      <c r="B85" s="354"/>
      <c r="C85" s="353"/>
      <c r="E85" s="352"/>
    </row>
    <row r="86" spans="1:14" s="349" customFormat="1">
      <c r="B86" s="354"/>
      <c r="C86" s="353"/>
      <c r="E86" s="352"/>
    </row>
    <row r="87" spans="1:14" s="349" customFormat="1">
      <c r="B87" s="354"/>
      <c r="C87" s="353"/>
      <c r="E87" s="352"/>
    </row>
    <row r="88" spans="1:14" s="349" customFormat="1">
      <c r="B88" s="354"/>
      <c r="C88" s="353"/>
      <c r="E88" s="352"/>
    </row>
    <row r="89" spans="1:14" s="349" customFormat="1">
      <c r="B89" s="354"/>
      <c r="C89" s="353"/>
      <c r="E89" s="352"/>
    </row>
    <row r="90" spans="1:14" s="349" customFormat="1">
      <c r="B90" s="354"/>
      <c r="C90" s="353"/>
      <c r="E90" s="352"/>
    </row>
    <row r="91" spans="1:14" s="349" customFormat="1">
      <c r="B91" s="354"/>
      <c r="C91" s="353"/>
      <c r="E91" s="352"/>
    </row>
    <row r="92" spans="1:14" s="349" customFormat="1">
      <c r="B92" s="354"/>
      <c r="C92" s="353"/>
      <c r="E92" s="352"/>
    </row>
    <row r="93" spans="1:14" s="349" customFormat="1">
      <c r="B93" s="354"/>
      <c r="C93" s="353"/>
      <c r="E93" s="352"/>
    </row>
    <row r="94" spans="1:14" s="349" customFormat="1">
      <c r="B94" s="354"/>
      <c r="C94" s="353"/>
      <c r="E94" s="352"/>
    </row>
    <row r="95" spans="1:14" s="349" customFormat="1">
      <c r="B95" s="354"/>
      <c r="C95" s="353"/>
      <c r="E95" s="352"/>
    </row>
    <row r="96" spans="1:14" s="349" customFormat="1">
      <c r="B96" s="354"/>
      <c r="C96" s="353"/>
      <c r="E96" s="352"/>
    </row>
    <row r="97" spans="2:5" s="349" customFormat="1"/>
    <row r="98" spans="2:5" s="349" customFormat="1"/>
    <row r="99" spans="2:5" s="349" customFormat="1"/>
    <row r="100" spans="2:5" s="349" customFormat="1"/>
    <row r="101" spans="2:5" s="349" customFormat="1"/>
    <row r="102" spans="2:5" s="349" customFormat="1"/>
    <row r="103" spans="2:5" s="349" customFormat="1"/>
    <row r="104" spans="2:5" s="349" customFormat="1"/>
    <row r="105" spans="2:5" s="349" customFormat="1"/>
    <row r="106" spans="2:5" s="349" customFormat="1"/>
    <row r="107" spans="2:5" s="349" customFormat="1">
      <c r="B107" s="354"/>
      <c r="C107" s="353"/>
      <c r="E107" s="352"/>
    </row>
    <row r="108" spans="2:5" s="349" customFormat="1">
      <c r="B108" s="354"/>
      <c r="C108" s="353"/>
      <c r="E108" s="352"/>
    </row>
    <row r="109" spans="2:5" s="349" customFormat="1">
      <c r="B109" s="354"/>
      <c r="C109" s="353"/>
      <c r="E109" s="352"/>
    </row>
    <row r="110" spans="2:5" s="349" customFormat="1">
      <c r="B110" s="354"/>
      <c r="C110" s="353"/>
      <c r="E110" s="352"/>
    </row>
    <row r="111" spans="2:5" s="349" customFormat="1">
      <c r="B111" s="354"/>
      <c r="C111" s="353"/>
      <c r="E111" s="352"/>
    </row>
    <row r="112" spans="2:5" s="349" customFormat="1">
      <c r="B112" s="354"/>
      <c r="C112" s="353"/>
      <c r="E112" s="352"/>
    </row>
    <row r="113" spans="2:5" s="349" customFormat="1">
      <c r="B113" s="354"/>
      <c r="C113" s="353"/>
      <c r="E113" s="352"/>
    </row>
    <row r="114" spans="2:5" s="349" customFormat="1">
      <c r="B114" s="354"/>
      <c r="C114" s="353"/>
      <c r="E114" s="352"/>
    </row>
    <row r="115" spans="2:5" s="349" customFormat="1">
      <c r="C115" s="353"/>
      <c r="E115" s="352"/>
    </row>
    <row r="116" spans="2:5" s="349" customFormat="1">
      <c r="C116" s="353"/>
      <c r="E116" s="352"/>
    </row>
  </sheetData>
  <sheetProtection selectLockedCells="1"/>
  <protectedRanges>
    <protectedRange password="C722" sqref="C3:C36" name="Bereik1"/>
  </protectedRanges>
  <pageMargins left="0.75" right="0.75" top="1" bottom="1" header="0.5" footer="0.5"/>
  <pageSetup paperSize="9" scale="60" orientation="landscape" r:id="rId1"/>
  <headerFooter alignWithMargins="0"/>
  <colBreaks count="1" manualBreakCount="1">
    <brk id="5" max="1048575" man="1"/>
  </colBreaks>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enableFormatConditionsCalculation="0"/>
  <dimension ref="A1:N119"/>
  <sheetViews>
    <sheetView zoomScale="85" zoomScaleNormal="85" zoomScalePageLayoutView="85" workbookViewId="0">
      <selection activeCell="A2" sqref="A2"/>
    </sheetView>
  </sheetViews>
  <sheetFormatPr defaultColWidth="9.140625" defaultRowHeight="12.75"/>
  <cols>
    <col min="1" max="1" width="45" style="355" bestFit="1" customWidth="1"/>
    <col min="2" max="2" width="125.140625" style="355" customWidth="1"/>
    <col min="3" max="4" width="9.140625" style="333"/>
    <col min="5" max="5" width="10.42578125" style="333" customWidth="1"/>
    <col min="6" max="6" width="11.28515625" style="333" customWidth="1"/>
    <col min="7" max="7" width="9.28515625" style="333" customWidth="1"/>
    <col min="8" max="16384" width="9.140625" style="333"/>
  </cols>
  <sheetData>
    <row r="1" spans="1:14">
      <c r="A1" s="373"/>
      <c r="B1" s="373"/>
      <c r="C1" s="367"/>
      <c r="D1" s="367"/>
      <c r="E1" s="367"/>
      <c r="F1" s="367"/>
      <c r="G1" s="367"/>
      <c r="H1" s="367"/>
      <c r="I1" s="367"/>
      <c r="J1" s="367"/>
      <c r="K1" s="367"/>
      <c r="L1" s="367"/>
      <c r="M1" s="367"/>
      <c r="N1" s="367"/>
    </row>
    <row r="2" spans="1:14">
      <c r="A2" s="451" t="s">
        <v>624</v>
      </c>
      <c r="B2" s="451" t="s">
        <v>120</v>
      </c>
      <c r="C2" s="367"/>
      <c r="D2" s="367"/>
      <c r="E2" s="367"/>
      <c r="F2" s="367"/>
      <c r="G2" s="367"/>
      <c r="H2" s="367"/>
      <c r="I2" s="367"/>
      <c r="J2" s="367"/>
      <c r="K2" s="367"/>
      <c r="L2" s="367"/>
      <c r="M2" s="367"/>
      <c r="N2" s="367"/>
    </row>
    <row r="3" spans="1:14" ht="38.25" customHeight="1">
      <c r="A3" s="373" t="s">
        <v>623</v>
      </c>
      <c r="B3" s="452" t="s">
        <v>622</v>
      </c>
      <c r="C3" s="367"/>
      <c r="D3" s="367"/>
      <c r="E3" s="367"/>
      <c r="F3" s="362" t="s">
        <v>634</v>
      </c>
      <c r="G3" s="367"/>
      <c r="H3" s="367"/>
      <c r="I3" s="367"/>
      <c r="J3" s="367"/>
      <c r="K3" s="367"/>
      <c r="L3" s="367"/>
      <c r="M3" s="367"/>
      <c r="N3" s="367"/>
    </row>
    <row r="4" spans="1:14" ht="38.25">
      <c r="A4" s="373" t="s">
        <v>621</v>
      </c>
      <c r="B4" s="452" t="s">
        <v>620</v>
      </c>
      <c r="C4" s="367"/>
      <c r="D4" s="367"/>
      <c r="E4" s="367"/>
      <c r="F4" s="367"/>
      <c r="G4" s="367"/>
      <c r="H4" s="367"/>
      <c r="I4" s="367"/>
      <c r="J4" s="367"/>
      <c r="K4" s="367"/>
      <c r="L4" s="367"/>
      <c r="M4" s="367"/>
      <c r="N4" s="367"/>
    </row>
    <row r="5" spans="1:14" ht="38.25">
      <c r="A5" s="373" t="s">
        <v>619</v>
      </c>
      <c r="B5" s="452" t="s">
        <v>618</v>
      </c>
      <c r="C5" s="367"/>
      <c r="D5" s="367"/>
      <c r="E5" s="367"/>
      <c r="F5" s="367"/>
      <c r="G5" s="367"/>
      <c r="H5" s="367"/>
      <c r="I5" s="367"/>
      <c r="J5" s="367"/>
      <c r="K5" s="367"/>
      <c r="L5" s="367"/>
      <c r="M5" s="367"/>
      <c r="N5" s="367"/>
    </row>
    <row r="6" spans="1:14" ht="38.25">
      <c r="A6" s="373" t="s">
        <v>617</v>
      </c>
      <c r="B6" s="452" t="s">
        <v>616</v>
      </c>
      <c r="C6" s="367"/>
      <c r="D6" s="367"/>
      <c r="E6" s="367"/>
      <c r="F6" s="367"/>
      <c r="G6" s="367"/>
      <c r="H6" s="367"/>
      <c r="I6" s="367"/>
      <c r="J6" s="367"/>
      <c r="K6" s="367"/>
      <c r="L6" s="367"/>
      <c r="M6" s="367"/>
      <c r="N6" s="367"/>
    </row>
    <row r="7" spans="1:14" ht="25.5">
      <c r="A7" s="373" t="s">
        <v>615</v>
      </c>
      <c r="B7" s="452" t="s">
        <v>614</v>
      </c>
      <c r="C7" s="367"/>
      <c r="D7" s="367"/>
      <c r="E7" s="367"/>
      <c r="F7" s="367"/>
      <c r="G7" s="367"/>
      <c r="H7" s="367"/>
      <c r="I7" s="367"/>
      <c r="J7" s="367"/>
      <c r="K7" s="367"/>
      <c r="L7" s="367"/>
      <c r="M7" s="367"/>
      <c r="N7" s="367"/>
    </row>
    <row r="8" spans="1:14">
      <c r="A8" s="373"/>
      <c r="B8" s="452"/>
      <c r="C8" s="367"/>
      <c r="D8" s="367"/>
      <c r="E8" s="367"/>
      <c r="F8" s="367"/>
      <c r="G8" s="367"/>
      <c r="H8" s="367"/>
      <c r="I8" s="367"/>
      <c r="J8" s="367"/>
      <c r="K8" s="367"/>
      <c r="L8" s="367"/>
      <c r="M8" s="367"/>
      <c r="N8" s="367"/>
    </row>
    <row r="9" spans="1:14" ht="51">
      <c r="A9" s="373" t="s">
        <v>613</v>
      </c>
      <c r="B9" s="452" t="s">
        <v>612</v>
      </c>
      <c r="C9" s="367"/>
      <c r="D9" s="367"/>
      <c r="E9" s="367"/>
      <c r="F9" s="367"/>
      <c r="G9" s="367"/>
      <c r="H9" s="367"/>
      <c r="I9" s="367"/>
      <c r="J9" s="367"/>
      <c r="K9" s="367"/>
      <c r="L9" s="367"/>
      <c r="M9" s="367"/>
      <c r="N9" s="367"/>
    </row>
    <row r="10" spans="1:14" ht="51">
      <c r="A10" s="453" t="s">
        <v>611</v>
      </c>
      <c r="B10" s="452" t="s">
        <v>601</v>
      </c>
      <c r="C10" s="367"/>
      <c r="D10" s="367"/>
      <c r="E10" s="367"/>
      <c r="F10" s="367"/>
      <c r="G10" s="367"/>
      <c r="H10" s="367"/>
      <c r="I10" s="367"/>
      <c r="J10" s="367"/>
      <c r="K10" s="367"/>
      <c r="L10" s="367"/>
      <c r="M10" s="367"/>
      <c r="N10" s="367"/>
    </row>
    <row r="11" spans="1:14">
      <c r="A11" s="373" t="s">
        <v>610</v>
      </c>
      <c r="B11" s="452" t="s">
        <v>609</v>
      </c>
      <c r="C11" s="367"/>
      <c r="D11" s="367"/>
      <c r="E11" s="367"/>
      <c r="F11" s="367"/>
      <c r="G11" s="367"/>
      <c r="H11" s="367"/>
      <c r="I11" s="367"/>
      <c r="J11" s="367"/>
      <c r="K11" s="367"/>
      <c r="L11" s="367"/>
      <c r="M11" s="367"/>
      <c r="N11" s="367"/>
    </row>
    <row r="12" spans="1:14">
      <c r="A12" s="373" t="s">
        <v>608</v>
      </c>
      <c r="B12" s="452" t="s">
        <v>607</v>
      </c>
      <c r="C12" s="367"/>
      <c r="D12" s="367"/>
      <c r="E12" s="367"/>
      <c r="F12" s="367"/>
      <c r="G12" s="367"/>
      <c r="H12" s="367"/>
      <c r="I12" s="367"/>
      <c r="J12" s="367"/>
      <c r="K12" s="367"/>
      <c r="L12" s="367"/>
      <c r="M12" s="367"/>
      <c r="N12" s="367"/>
    </row>
    <row r="13" spans="1:14">
      <c r="A13" s="373" t="s">
        <v>606</v>
      </c>
      <c r="B13" s="452" t="s">
        <v>605</v>
      </c>
      <c r="C13" s="367"/>
      <c r="D13" s="367"/>
      <c r="E13" s="367"/>
      <c r="F13" s="367"/>
      <c r="G13" s="367"/>
      <c r="H13" s="367"/>
      <c r="I13" s="367"/>
      <c r="J13" s="367"/>
      <c r="K13" s="367"/>
      <c r="L13" s="367"/>
      <c r="M13" s="367"/>
      <c r="N13" s="367"/>
    </row>
    <row r="14" spans="1:14">
      <c r="A14" s="373" t="s">
        <v>604</v>
      </c>
      <c r="B14" s="452" t="s">
        <v>603</v>
      </c>
      <c r="C14" s="367"/>
      <c r="D14" s="367"/>
      <c r="E14" s="367"/>
      <c r="F14" s="367"/>
      <c r="G14" s="367"/>
      <c r="H14" s="367"/>
      <c r="I14" s="367"/>
      <c r="J14" s="367"/>
      <c r="K14" s="367"/>
      <c r="L14" s="367"/>
      <c r="M14" s="367"/>
      <c r="N14" s="367"/>
    </row>
    <row r="15" spans="1:14" ht="51">
      <c r="A15" s="453" t="s">
        <v>602</v>
      </c>
      <c r="B15" s="452" t="s">
        <v>601</v>
      </c>
      <c r="C15" s="367"/>
      <c r="D15" s="367"/>
      <c r="E15" s="367"/>
      <c r="F15" s="367"/>
      <c r="G15" s="367"/>
      <c r="H15" s="367"/>
      <c r="I15" s="367"/>
      <c r="J15" s="367"/>
      <c r="K15" s="367"/>
      <c r="L15" s="367"/>
      <c r="M15" s="367"/>
      <c r="N15" s="367"/>
    </row>
    <row r="16" spans="1:14" ht="25.5">
      <c r="A16" s="373" t="s">
        <v>600</v>
      </c>
      <c r="B16" s="452" t="s">
        <v>599</v>
      </c>
      <c r="C16" s="367"/>
      <c r="D16" s="367"/>
      <c r="E16" s="367"/>
      <c r="F16" s="367"/>
      <c r="G16" s="367"/>
      <c r="H16" s="367"/>
      <c r="I16" s="367"/>
      <c r="J16" s="367"/>
      <c r="K16" s="367"/>
      <c r="L16" s="367"/>
      <c r="M16" s="367"/>
      <c r="N16" s="367"/>
    </row>
    <row r="17" spans="1:14" ht="25.5">
      <c r="A17" s="373" t="s">
        <v>598</v>
      </c>
      <c r="B17" s="452" t="s">
        <v>597</v>
      </c>
      <c r="C17" s="367"/>
      <c r="D17" s="367"/>
      <c r="E17" s="367"/>
      <c r="F17" s="367"/>
      <c r="G17" s="367"/>
      <c r="H17" s="367"/>
      <c r="I17" s="367"/>
      <c r="J17" s="367"/>
      <c r="K17" s="367"/>
      <c r="L17" s="367"/>
      <c r="M17" s="367"/>
      <c r="N17" s="367"/>
    </row>
    <row r="18" spans="1:14" ht="25.5">
      <c r="A18" s="373" t="s">
        <v>596</v>
      </c>
      <c r="B18" s="452" t="s">
        <v>595</v>
      </c>
      <c r="C18" s="367"/>
      <c r="D18" s="367"/>
      <c r="E18" s="367"/>
      <c r="F18" s="367"/>
      <c r="G18" s="367"/>
      <c r="H18" s="367"/>
      <c r="I18" s="367"/>
      <c r="J18" s="367"/>
      <c r="K18" s="367"/>
      <c r="L18" s="367"/>
      <c r="M18" s="367"/>
      <c r="N18" s="367"/>
    </row>
    <row r="19" spans="1:14" ht="25.5">
      <c r="A19" s="373" t="s">
        <v>594</v>
      </c>
      <c r="B19" s="452" t="s">
        <v>593</v>
      </c>
      <c r="C19" s="367"/>
      <c r="D19" s="367"/>
      <c r="E19" s="367"/>
      <c r="F19" s="367"/>
      <c r="G19" s="367"/>
      <c r="H19" s="367"/>
      <c r="I19" s="367"/>
      <c r="J19" s="367"/>
      <c r="K19" s="367"/>
      <c r="L19" s="367"/>
      <c r="M19" s="367"/>
      <c r="N19" s="367"/>
    </row>
    <row r="20" spans="1:14" ht="38.25">
      <c r="A20" s="453" t="s">
        <v>592</v>
      </c>
      <c r="B20" s="452" t="s">
        <v>591</v>
      </c>
      <c r="C20" s="367"/>
      <c r="D20" s="367"/>
      <c r="E20" s="367"/>
      <c r="F20" s="367"/>
      <c r="G20" s="367"/>
      <c r="H20" s="367"/>
      <c r="I20" s="367"/>
      <c r="J20" s="367"/>
      <c r="K20" s="367"/>
      <c r="L20" s="367"/>
      <c r="M20" s="367"/>
      <c r="N20" s="367"/>
    </row>
    <row r="21" spans="1:14" ht="25.5">
      <c r="A21" s="373" t="s">
        <v>590</v>
      </c>
      <c r="B21" s="452" t="s">
        <v>589</v>
      </c>
      <c r="C21" s="367"/>
      <c r="D21" s="367"/>
      <c r="E21" s="367"/>
      <c r="F21" s="367"/>
      <c r="G21" s="367"/>
      <c r="H21" s="367"/>
      <c r="I21" s="367"/>
      <c r="J21" s="367"/>
      <c r="K21" s="367"/>
      <c r="L21" s="367"/>
      <c r="M21" s="367"/>
      <c r="N21" s="367"/>
    </row>
    <row r="22" spans="1:14" ht="25.5">
      <c r="A22" s="373" t="s">
        <v>588</v>
      </c>
      <c r="B22" s="452" t="s">
        <v>587</v>
      </c>
      <c r="C22" s="367"/>
      <c r="D22" s="367"/>
      <c r="E22" s="367"/>
      <c r="F22" s="367"/>
      <c r="G22" s="367"/>
      <c r="H22" s="367"/>
      <c r="I22" s="367"/>
      <c r="J22" s="367"/>
      <c r="K22" s="367"/>
      <c r="L22" s="367"/>
      <c r="M22" s="367"/>
      <c r="N22" s="367"/>
    </row>
    <row r="23" spans="1:14" ht="25.5">
      <c r="A23" s="373" t="s">
        <v>586</v>
      </c>
      <c r="B23" s="452" t="s">
        <v>585</v>
      </c>
      <c r="C23" s="367"/>
      <c r="D23" s="367"/>
      <c r="E23" s="367"/>
      <c r="F23" s="367"/>
      <c r="G23" s="367"/>
      <c r="H23" s="367"/>
      <c r="I23" s="367"/>
      <c r="J23" s="367"/>
      <c r="K23" s="367"/>
      <c r="L23" s="367"/>
      <c r="M23" s="367"/>
      <c r="N23" s="367"/>
    </row>
    <row r="24" spans="1:14" ht="25.5">
      <c r="A24" s="373" t="s">
        <v>584</v>
      </c>
      <c r="B24" s="452" t="s">
        <v>583</v>
      </c>
      <c r="C24" s="367"/>
      <c r="D24" s="367"/>
      <c r="E24" s="367"/>
      <c r="F24" s="367"/>
      <c r="G24" s="367"/>
      <c r="H24" s="367"/>
      <c r="I24" s="367"/>
      <c r="J24" s="367"/>
      <c r="K24" s="367"/>
      <c r="L24" s="367"/>
      <c r="M24" s="367"/>
      <c r="N24" s="367"/>
    </row>
    <row r="25" spans="1:14" ht="38.25">
      <c r="A25" s="453" t="s">
        <v>582</v>
      </c>
      <c r="B25" s="452" t="s">
        <v>581</v>
      </c>
      <c r="C25" s="367"/>
      <c r="D25" s="367"/>
      <c r="E25" s="367"/>
      <c r="F25" s="367"/>
      <c r="G25" s="367"/>
      <c r="H25" s="367"/>
      <c r="I25" s="367"/>
      <c r="J25" s="367"/>
      <c r="K25" s="367"/>
      <c r="L25" s="367"/>
      <c r="M25" s="367"/>
      <c r="N25" s="367"/>
    </row>
    <row r="26" spans="1:14" ht="25.5">
      <c r="A26" s="373" t="s">
        <v>580</v>
      </c>
      <c r="B26" s="452" t="s">
        <v>579</v>
      </c>
      <c r="C26" s="367"/>
      <c r="D26" s="367"/>
      <c r="E26" s="367"/>
      <c r="F26" s="367" t="s">
        <v>545</v>
      </c>
      <c r="G26" s="367"/>
      <c r="H26" s="367"/>
      <c r="I26" s="367"/>
      <c r="J26" s="367"/>
      <c r="K26" s="367"/>
      <c r="L26" s="367"/>
      <c r="M26" s="367"/>
      <c r="N26" s="367"/>
    </row>
    <row r="27" spans="1:14" ht="25.5">
      <c r="A27" s="373" t="s">
        <v>578</v>
      </c>
      <c r="B27" s="452" t="s">
        <v>577</v>
      </c>
      <c r="C27" s="367"/>
      <c r="D27" s="367"/>
      <c r="E27" s="367"/>
      <c r="F27" s="367"/>
      <c r="G27" s="367"/>
      <c r="H27" s="367"/>
      <c r="I27" s="367"/>
      <c r="J27" s="367"/>
      <c r="K27" s="367"/>
      <c r="L27" s="367"/>
      <c r="M27" s="367"/>
      <c r="N27" s="367"/>
    </row>
    <row r="28" spans="1:14" ht="25.5">
      <c r="A28" s="373" t="s">
        <v>576</v>
      </c>
      <c r="B28" s="452" t="s">
        <v>575</v>
      </c>
      <c r="C28" s="367"/>
      <c r="D28" s="367"/>
      <c r="E28" s="367"/>
      <c r="F28" s="367"/>
      <c r="G28" s="367"/>
      <c r="H28" s="367"/>
      <c r="I28" s="367"/>
      <c r="J28" s="367"/>
      <c r="K28" s="367"/>
      <c r="L28" s="367"/>
      <c r="M28" s="367"/>
      <c r="N28" s="367"/>
    </row>
    <row r="29" spans="1:14" ht="25.5">
      <c r="A29" s="373" t="s">
        <v>574</v>
      </c>
      <c r="B29" s="452" t="s">
        <v>573</v>
      </c>
      <c r="C29" s="367"/>
      <c r="D29" s="367"/>
      <c r="E29" s="367"/>
      <c r="F29" s="367"/>
      <c r="G29" s="367"/>
      <c r="H29" s="367"/>
      <c r="I29" s="367"/>
      <c r="J29" s="367"/>
      <c r="K29" s="367"/>
      <c r="L29" s="367"/>
      <c r="M29" s="367"/>
      <c r="N29" s="367"/>
    </row>
    <row r="30" spans="1:14" ht="89.25">
      <c r="A30" s="453" t="s">
        <v>572</v>
      </c>
      <c r="B30" s="452" t="s">
        <v>571</v>
      </c>
      <c r="C30" s="367"/>
      <c r="D30" s="367"/>
      <c r="E30" s="367"/>
      <c r="F30" s="367"/>
      <c r="G30" s="367"/>
      <c r="H30" s="367"/>
      <c r="I30" s="367"/>
      <c r="J30" s="367"/>
      <c r="K30" s="367"/>
      <c r="L30" s="367"/>
      <c r="M30" s="367"/>
      <c r="N30" s="367"/>
    </row>
    <row r="31" spans="1:14" ht="25.5">
      <c r="A31" s="373" t="s">
        <v>570</v>
      </c>
      <c r="B31" s="452" t="s">
        <v>569</v>
      </c>
      <c r="C31" s="367"/>
      <c r="D31" s="367"/>
      <c r="E31" s="367"/>
      <c r="F31" s="367"/>
      <c r="G31" s="367"/>
      <c r="H31" s="367"/>
      <c r="I31" s="367"/>
      <c r="J31" s="367"/>
      <c r="K31" s="367"/>
      <c r="L31" s="367"/>
      <c r="M31" s="367"/>
      <c r="N31" s="367"/>
    </row>
    <row r="32" spans="1:14" ht="25.5">
      <c r="A32" s="373" t="s">
        <v>568</v>
      </c>
      <c r="B32" s="452" t="s">
        <v>567</v>
      </c>
      <c r="C32" s="367"/>
      <c r="D32" s="367"/>
      <c r="E32" s="367"/>
      <c r="F32" s="367"/>
      <c r="G32" s="367"/>
      <c r="H32" s="367"/>
      <c r="I32" s="367"/>
      <c r="J32" s="367"/>
      <c r="K32" s="367"/>
      <c r="L32" s="367"/>
      <c r="M32" s="367"/>
      <c r="N32" s="367"/>
    </row>
    <row r="33" spans="1:14" ht="25.5">
      <c r="A33" s="373" t="s">
        <v>566</v>
      </c>
      <c r="B33" s="452" t="s">
        <v>565</v>
      </c>
      <c r="C33" s="367"/>
      <c r="D33" s="367"/>
      <c r="E33" s="367"/>
      <c r="F33" s="367"/>
      <c r="G33" s="367"/>
      <c r="H33" s="367"/>
      <c r="I33" s="367"/>
      <c r="J33" s="367"/>
      <c r="K33" s="367"/>
      <c r="L33" s="367"/>
      <c r="M33" s="367"/>
      <c r="N33" s="367"/>
    </row>
    <row r="34" spans="1:14" ht="25.5">
      <c r="A34" s="373" t="s">
        <v>564</v>
      </c>
      <c r="B34" s="452" t="s">
        <v>563</v>
      </c>
      <c r="C34" s="367"/>
      <c r="D34" s="367"/>
      <c r="E34" s="367"/>
      <c r="F34" s="367"/>
      <c r="G34" s="367"/>
      <c r="H34" s="367"/>
      <c r="I34" s="367"/>
      <c r="J34" s="367"/>
      <c r="K34" s="367"/>
      <c r="L34" s="367"/>
      <c r="M34" s="367"/>
      <c r="N34" s="367"/>
    </row>
    <row r="35" spans="1:14" ht="38.25">
      <c r="A35" s="454" t="s">
        <v>562</v>
      </c>
      <c r="B35" s="452" t="s">
        <v>561</v>
      </c>
      <c r="C35" s="367"/>
      <c r="D35" s="367"/>
      <c r="E35" s="367"/>
      <c r="F35" s="367"/>
      <c r="G35" s="367"/>
      <c r="H35" s="367"/>
      <c r="I35" s="367"/>
      <c r="J35" s="367"/>
      <c r="K35" s="367"/>
      <c r="L35" s="367"/>
      <c r="M35" s="367"/>
      <c r="N35" s="367"/>
    </row>
    <row r="36" spans="1:14" ht="25.5">
      <c r="A36" s="373" t="s">
        <v>560</v>
      </c>
      <c r="B36" s="452" t="s">
        <v>559</v>
      </c>
      <c r="C36" s="367"/>
      <c r="D36" s="367"/>
      <c r="E36" s="367"/>
      <c r="F36" s="367"/>
      <c r="G36" s="367"/>
      <c r="H36" s="367"/>
      <c r="I36" s="367"/>
      <c r="J36" s="367"/>
      <c r="K36" s="367"/>
      <c r="L36" s="367"/>
      <c r="M36" s="367"/>
      <c r="N36" s="367"/>
    </row>
    <row r="37" spans="1:14" ht="25.5">
      <c r="A37" s="373" t="s">
        <v>558</v>
      </c>
      <c r="B37" s="452" t="s">
        <v>557</v>
      </c>
      <c r="C37" s="367"/>
      <c r="D37" s="367"/>
      <c r="E37" s="367"/>
      <c r="F37" s="367"/>
      <c r="G37" s="367"/>
      <c r="H37" s="367"/>
      <c r="I37" s="367"/>
      <c r="J37" s="367"/>
      <c r="K37" s="367"/>
      <c r="L37" s="367"/>
      <c r="M37" s="367"/>
      <c r="N37" s="367"/>
    </row>
    <row r="38" spans="1:14" ht="25.5">
      <c r="A38" s="373" t="s">
        <v>556</v>
      </c>
      <c r="B38" s="452" t="s">
        <v>555</v>
      </c>
      <c r="C38" s="367"/>
      <c r="D38" s="367"/>
      <c r="E38" s="367"/>
      <c r="F38" s="367"/>
      <c r="G38" s="367"/>
      <c r="H38" s="367"/>
      <c r="I38" s="367"/>
      <c r="J38" s="367"/>
      <c r="K38" s="367"/>
      <c r="L38" s="367"/>
      <c r="M38" s="367"/>
      <c r="N38" s="367"/>
    </row>
    <row r="39" spans="1:14" ht="25.5">
      <c r="A39" s="373" t="s">
        <v>554</v>
      </c>
      <c r="B39" s="452" t="s">
        <v>553</v>
      </c>
      <c r="C39" s="367"/>
      <c r="D39" s="367"/>
      <c r="E39" s="367"/>
      <c r="F39" s="367"/>
      <c r="G39" s="367"/>
      <c r="H39" s="367"/>
      <c r="I39" s="367"/>
      <c r="J39" s="367"/>
      <c r="K39" s="367"/>
      <c r="L39" s="367"/>
      <c r="M39" s="367"/>
      <c r="N39" s="367"/>
    </row>
    <row r="40" spans="1:14">
      <c r="A40" s="373"/>
      <c r="B40" s="373"/>
      <c r="C40" s="367"/>
      <c r="D40" s="367"/>
      <c r="E40" s="367"/>
      <c r="F40" s="367"/>
      <c r="G40" s="367"/>
      <c r="H40" s="367"/>
      <c r="I40" s="367"/>
      <c r="J40" s="367"/>
      <c r="K40" s="367"/>
      <c r="L40" s="367"/>
      <c r="M40" s="367"/>
      <c r="N40" s="367"/>
    </row>
    <row r="41" spans="1:14">
      <c r="A41" s="373"/>
      <c r="B41" s="373"/>
      <c r="C41" s="367"/>
      <c r="D41" s="367"/>
      <c r="E41" s="367"/>
      <c r="F41" s="367"/>
      <c r="G41" s="367"/>
      <c r="H41" s="367"/>
      <c r="I41" s="367"/>
      <c r="J41" s="367"/>
      <c r="K41" s="367"/>
      <c r="L41" s="367"/>
      <c r="M41" s="367"/>
      <c r="N41" s="367"/>
    </row>
    <row r="42" spans="1:14">
      <c r="A42" s="373"/>
      <c r="B42" s="373"/>
      <c r="C42" s="367"/>
      <c r="D42" s="367"/>
      <c r="E42" s="367"/>
      <c r="F42" s="367"/>
      <c r="G42" s="367"/>
      <c r="H42" s="367"/>
      <c r="I42" s="367"/>
      <c r="J42" s="367"/>
      <c r="K42" s="367"/>
      <c r="L42" s="367"/>
      <c r="M42" s="367"/>
      <c r="N42" s="367"/>
    </row>
    <row r="43" spans="1:14">
      <c r="A43" s="373"/>
      <c r="B43" s="373"/>
      <c r="C43" s="367"/>
      <c r="D43" s="367"/>
      <c r="E43" s="367"/>
      <c r="F43" s="367"/>
      <c r="G43" s="367"/>
      <c r="H43" s="367"/>
      <c r="I43" s="367"/>
      <c r="J43" s="367"/>
      <c r="K43" s="367"/>
      <c r="L43" s="367"/>
      <c r="M43" s="367"/>
      <c r="N43" s="367"/>
    </row>
    <row r="54" spans="1:7">
      <c r="E54" s="355"/>
      <c r="F54" s="355"/>
      <c r="G54" s="355"/>
    </row>
    <row r="55" spans="1:7">
      <c r="E55" s="355"/>
      <c r="F55" s="355"/>
      <c r="G55" s="355"/>
    </row>
    <row r="56" spans="1:7">
      <c r="E56" s="355"/>
      <c r="F56" s="355"/>
      <c r="G56" s="355"/>
    </row>
    <row r="57" spans="1:7">
      <c r="E57" s="355"/>
      <c r="F57" s="355"/>
      <c r="G57" s="355"/>
    </row>
    <row r="58" spans="1:7">
      <c r="E58" s="355"/>
      <c r="F58" s="355"/>
      <c r="G58" s="355"/>
    </row>
    <row r="59" spans="1:7">
      <c r="E59" s="355"/>
      <c r="F59" s="355"/>
      <c r="G59" s="355"/>
    </row>
    <row r="60" spans="1:7">
      <c r="E60" s="355"/>
      <c r="F60" s="355"/>
      <c r="G60" s="355"/>
    </row>
    <row r="61" spans="1:7">
      <c r="E61" s="355"/>
      <c r="F61" s="355"/>
      <c r="G61" s="355"/>
    </row>
    <row r="62" spans="1:7">
      <c r="E62" s="355"/>
      <c r="F62" s="355"/>
      <c r="G62" s="355"/>
    </row>
    <row r="63" spans="1:7">
      <c r="E63" s="355"/>
      <c r="F63" s="355"/>
      <c r="G63" s="355"/>
    </row>
    <row r="64" spans="1:7">
      <c r="A64" s="356"/>
    </row>
    <row r="65" spans="1:1" s="333" customFormat="1">
      <c r="A65" s="356"/>
    </row>
    <row r="68" spans="1:1" s="333" customFormat="1">
      <c r="A68" s="356"/>
    </row>
    <row r="69" spans="1:1" s="333" customFormat="1">
      <c r="A69" s="356"/>
    </row>
    <row r="70" spans="1:1" s="333" customFormat="1">
      <c r="A70" s="356"/>
    </row>
    <row r="72" spans="1:1" s="333" customFormat="1">
      <c r="A72" s="356"/>
    </row>
    <row r="73" spans="1:1" s="333" customFormat="1">
      <c r="A73" s="356"/>
    </row>
    <row r="74" spans="1:1" s="333" customFormat="1">
      <c r="A74" s="356"/>
    </row>
    <row r="75" spans="1:1" s="333" customFormat="1">
      <c r="A75" s="356"/>
    </row>
    <row r="76" spans="1:1" s="333" customFormat="1">
      <c r="A76" s="356"/>
    </row>
    <row r="77" spans="1:1" s="333" customFormat="1">
      <c r="A77" s="356"/>
    </row>
    <row r="78" spans="1:1" s="333" customFormat="1">
      <c r="A78" s="356"/>
    </row>
    <row r="79" spans="1:1" s="333" customFormat="1">
      <c r="A79" s="356"/>
    </row>
    <row r="80" spans="1:1" s="333" customFormat="1">
      <c r="A80" s="356"/>
    </row>
    <row r="81" spans="1:1" s="333" customFormat="1">
      <c r="A81" s="356"/>
    </row>
    <row r="82" spans="1:1" s="333" customFormat="1">
      <c r="A82" s="356"/>
    </row>
    <row r="83" spans="1:1" s="333" customFormat="1">
      <c r="A83" s="356"/>
    </row>
    <row r="84" spans="1:1" s="333" customFormat="1">
      <c r="A84" s="356"/>
    </row>
    <row r="85" spans="1:1" s="333" customFormat="1">
      <c r="A85" s="356"/>
    </row>
    <row r="86" spans="1:1" s="333" customFormat="1">
      <c r="A86" s="356"/>
    </row>
    <row r="87" spans="1:1" s="333" customFormat="1">
      <c r="A87" s="356"/>
    </row>
    <row r="88" spans="1:1" s="333" customFormat="1">
      <c r="A88" s="356"/>
    </row>
    <row r="89" spans="1:1" s="333" customFormat="1">
      <c r="A89" s="356"/>
    </row>
    <row r="90" spans="1:1" s="333" customFormat="1">
      <c r="A90" s="356"/>
    </row>
    <row r="91" spans="1:1" s="333" customFormat="1">
      <c r="A91" s="356"/>
    </row>
    <row r="92" spans="1:1" s="333" customFormat="1">
      <c r="A92" s="356"/>
    </row>
    <row r="93" spans="1:1" s="333" customFormat="1">
      <c r="A93" s="356"/>
    </row>
    <row r="94" spans="1:1" s="333" customFormat="1">
      <c r="A94" s="356"/>
    </row>
    <row r="95" spans="1:1" s="333" customFormat="1">
      <c r="A95" s="356"/>
    </row>
    <row r="96" spans="1:1" s="333" customFormat="1">
      <c r="A96" s="356"/>
    </row>
    <row r="97" spans="1:1" s="333" customFormat="1">
      <c r="A97" s="356"/>
    </row>
    <row r="98" spans="1:1" s="333" customFormat="1">
      <c r="A98" s="356"/>
    </row>
    <row r="99" spans="1:1" s="333" customFormat="1">
      <c r="A99" s="356"/>
    </row>
    <row r="100" spans="1:1" s="333" customFormat="1">
      <c r="A100" s="356"/>
    </row>
    <row r="101" spans="1:1" s="333" customFormat="1">
      <c r="A101" s="356"/>
    </row>
    <row r="102" spans="1:1" s="333" customFormat="1">
      <c r="A102" s="356"/>
    </row>
    <row r="103" spans="1:1" s="333" customFormat="1">
      <c r="A103" s="356"/>
    </row>
    <row r="104" spans="1:1" s="333" customFormat="1">
      <c r="A104" s="356"/>
    </row>
    <row r="105" spans="1:1" s="333" customFormat="1">
      <c r="A105" s="356"/>
    </row>
    <row r="106" spans="1:1" s="333" customFormat="1">
      <c r="A106" s="356"/>
    </row>
    <row r="107" spans="1:1" s="333" customFormat="1">
      <c r="A107" s="356"/>
    </row>
    <row r="108" spans="1:1" s="333" customFormat="1">
      <c r="A108" s="356"/>
    </row>
    <row r="109" spans="1:1" s="333" customFormat="1">
      <c r="A109" s="356"/>
    </row>
    <row r="110" spans="1:1" s="333" customFormat="1">
      <c r="A110" s="356"/>
    </row>
    <row r="111" spans="1:1" s="333" customFormat="1">
      <c r="A111" s="356"/>
    </row>
    <row r="112" spans="1:1" s="333" customFormat="1">
      <c r="A112" s="356"/>
    </row>
    <row r="113" spans="1:1" s="333" customFormat="1">
      <c r="A113" s="356"/>
    </row>
    <row r="114" spans="1:1" s="333" customFormat="1">
      <c r="A114" s="356"/>
    </row>
    <row r="115" spans="1:1" s="333" customFormat="1">
      <c r="A115" s="356"/>
    </row>
    <row r="116" spans="1:1" s="333" customFormat="1">
      <c r="A116" s="356"/>
    </row>
    <row r="117" spans="1:1" s="333" customFormat="1">
      <c r="A117" s="356"/>
    </row>
    <row r="118" spans="1:1" s="333" customFormat="1">
      <c r="A118" s="356"/>
    </row>
    <row r="119" spans="1:1" s="333" customFormat="1">
      <c r="A119" s="356"/>
    </row>
  </sheetData>
  <pageMargins left="0.75" right="0.75" top="1" bottom="1" header="0.5" footer="0.5"/>
  <headerFooter alignWithMargins="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enableFormatConditionsCalculation="0"/>
  <dimension ref="A1:J34"/>
  <sheetViews>
    <sheetView zoomScale="70" zoomScaleNormal="70" zoomScalePageLayoutView="70" workbookViewId="0">
      <selection activeCell="B32" sqref="B32"/>
    </sheetView>
  </sheetViews>
  <sheetFormatPr defaultColWidth="9.140625" defaultRowHeight="18" customHeight="1"/>
  <cols>
    <col min="1" max="1" width="4.7109375" style="147" customWidth="1"/>
    <col min="2" max="2" width="67.85546875" style="147" customWidth="1"/>
    <col min="3" max="3" width="12.5703125" style="148" customWidth="1"/>
    <col min="4" max="4" width="9" style="147" customWidth="1"/>
    <col min="5" max="5" width="4.5703125" style="147" customWidth="1"/>
    <col min="6" max="6" width="13" style="152" hidden="1" customWidth="1"/>
    <col min="7" max="8" width="7.85546875" style="152" hidden="1" customWidth="1"/>
    <col min="9" max="9" width="7.7109375" style="152" hidden="1" customWidth="1"/>
    <col min="10" max="10" width="75.42578125" style="167" customWidth="1"/>
    <col min="11" max="16384" width="9.140625" style="147"/>
  </cols>
  <sheetData>
    <row r="1" spans="1:10" ht="18" customHeight="1">
      <c r="A1" s="841"/>
      <c r="B1" s="841"/>
      <c r="C1" s="842"/>
      <c r="D1" s="841"/>
      <c r="E1" s="841"/>
    </row>
    <row r="2" spans="1:10" ht="29.25" customHeight="1">
      <c r="A2" s="841"/>
      <c r="B2" s="851" t="s">
        <v>1944</v>
      </c>
      <c r="C2" s="852" t="s">
        <v>1875</v>
      </c>
      <c r="D2" s="853" t="s">
        <v>1876</v>
      </c>
      <c r="E2" s="843"/>
      <c r="F2" s="362" t="s">
        <v>633</v>
      </c>
      <c r="G2" s="455"/>
      <c r="H2" s="455"/>
      <c r="I2" s="455"/>
    </row>
    <row r="3" spans="1:10" ht="8.1" customHeight="1">
      <c r="A3" s="841"/>
      <c r="B3" s="166"/>
      <c r="C3" s="179"/>
      <c r="D3" s="162"/>
      <c r="E3" s="844"/>
      <c r="F3" s="455"/>
      <c r="G3" s="455"/>
      <c r="H3" s="455"/>
      <c r="I3" s="455"/>
    </row>
    <row r="4" spans="1:10" ht="13.5" customHeight="1">
      <c r="A4" s="841"/>
      <c r="B4" s="178"/>
      <c r="C4" s="177" t="s">
        <v>1945</v>
      </c>
      <c r="D4" s="162"/>
      <c r="E4" s="844"/>
      <c r="F4" s="455"/>
      <c r="G4" s="455"/>
      <c r="H4" s="455"/>
      <c r="I4" s="455"/>
    </row>
    <row r="5" spans="1:10" ht="8.1" customHeight="1">
      <c r="A5" s="841"/>
      <c r="B5" s="176"/>
      <c r="C5" s="161"/>
      <c r="D5" s="162"/>
      <c r="E5" s="844"/>
      <c r="F5" s="455"/>
      <c r="G5" s="455"/>
      <c r="H5" s="455"/>
      <c r="I5" s="455"/>
    </row>
    <row r="6" spans="1:10" ht="18" customHeight="1">
      <c r="A6" s="841"/>
      <c r="B6" s="868" t="s">
        <v>1947</v>
      </c>
      <c r="C6" s="856"/>
      <c r="D6" s="860" t="s">
        <v>1946</v>
      </c>
      <c r="E6" s="845"/>
      <c r="F6" s="456">
        <f>+C6</f>
        <v>0</v>
      </c>
      <c r="G6" s="457" t="s">
        <v>136</v>
      </c>
      <c r="H6" s="456">
        <f>+F6</f>
        <v>0</v>
      </c>
      <c r="I6" s="457" t="s">
        <v>136</v>
      </c>
    </row>
    <row r="7" spans="1:10" ht="8.1" customHeight="1">
      <c r="A7" s="841"/>
      <c r="B7" s="854"/>
      <c r="C7" s="855"/>
      <c r="D7" s="854"/>
      <c r="E7" s="845"/>
      <c r="F7" s="456"/>
      <c r="G7" s="457"/>
      <c r="H7" s="456"/>
      <c r="I7" s="457"/>
    </row>
    <row r="8" spans="1:10" ht="30" customHeight="1">
      <c r="A8" s="841"/>
      <c r="B8" s="869" t="s">
        <v>1948</v>
      </c>
      <c r="C8" s="861"/>
      <c r="D8" s="862"/>
      <c r="E8" s="845"/>
      <c r="F8" s="456"/>
      <c r="G8" s="457"/>
      <c r="H8" s="456"/>
      <c r="I8" s="457"/>
    </row>
    <row r="9" spans="1:10" ht="18" customHeight="1">
      <c r="A9" s="841"/>
      <c r="B9" s="173" t="s">
        <v>1949</v>
      </c>
      <c r="C9" s="857"/>
      <c r="D9" s="860" t="s">
        <v>1946</v>
      </c>
      <c r="E9" s="845"/>
      <c r="F9" s="456"/>
      <c r="G9" s="457"/>
      <c r="H9" s="456"/>
      <c r="I9" s="457"/>
    </row>
    <row r="10" spans="1:10" ht="18" customHeight="1">
      <c r="A10" s="841"/>
      <c r="B10" s="173" t="s">
        <v>1950</v>
      </c>
      <c r="C10" s="857"/>
      <c r="D10" s="860" t="s">
        <v>1946</v>
      </c>
      <c r="E10" s="845"/>
      <c r="F10" s="456"/>
      <c r="G10" s="457"/>
      <c r="H10" s="456"/>
      <c r="I10" s="457"/>
    </row>
    <row r="11" spans="1:10" ht="18" customHeight="1">
      <c r="A11" s="841"/>
      <c r="B11" s="172" t="s">
        <v>1951</v>
      </c>
      <c r="C11" s="858"/>
      <c r="D11" s="860" t="s">
        <v>1946</v>
      </c>
      <c r="E11" s="845"/>
      <c r="F11" s="456">
        <f>+C11+C10+C9</f>
        <v>0</v>
      </c>
      <c r="G11" s="457" t="s">
        <v>135</v>
      </c>
      <c r="H11" s="456">
        <f>+F11</f>
        <v>0</v>
      </c>
      <c r="I11" s="457" t="s">
        <v>135</v>
      </c>
    </row>
    <row r="12" spans="1:10" ht="18" customHeight="1">
      <c r="A12" s="841"/>
      <c r="B12" s="870" t="s">
        <v>1952</v>
      </c>
      <c r="C12" s="864"/>
      <c r="D12" s="865"/>
      <c r="E12" s="845"/>
      <c r="F12" s="456"/>
      <c r="G12" s="457"/>
      <c r="H12" s="456"/>
      <c r="I12" s="457"/>
    </row>
    <row r="13" spans="1:10" ht="18" customHeight="1">
      <c r="A13" s="841"/>
      <c r="B13" s="173" t="s">
        <v>1949</v>
      </c>
      <c r="C13" s="857"/>
      <c r="D13" s="860" t="s">
        <v>1946</v>
      </c>
      <c r="E13" s="845"/>
      <c r="F13" s="456"/>
      <c r="G13" s="457"/>
      <c r="H13" s="456"/>
      <c r="I13" s="457"/>
    </row>
    <row r="14" spans="1:10" ht="18" customHeight="1">
      <c r="A14" s="841"/>
      <c r="B14" s="173" t="s">
        <v>1950</v>
      </c>
      <c r="C14" s="857"/>
      <c r="D14" s="860" t="s">
        <v>1946</v>
      </c>
      <c r="E14" s="845"/>
      <c r="F14" s="456"/>
      <c r="G14" s="457"/>
      <c r="H14" s="456"/>
      <c r="I14" s="457"/>
    </row>
    <row r="15" spans="1:10" ht="18" customHeight="1">
      <c r="A15" s="841"/>
      <c r="B15" s="175" t="s">
        <v>1951</v>
      </c>
      <c r="C15" s="859"/>
      <c r="D15" s="860" t="s">
        <v>1946</v>
      </c>
      <c r="E15" s="845"/>
      <c r="F15" s="456">
        <f>+C15+C14+C13</f>
        <v>0</v>
      </c>
      <c r="G15" s="457" t="s">
        <v>134</v>
      </c>
      <c r="H15" s="456">
        <f>0.95*F15</f>
        <v>0</v>
      </c>
      <c r="I15" s="457" t="s">
        <v>133</v>
      </c>
    </row>
    <row r="16" spans="1:10" ht="18" customHeight="1">
      <c r="A16" s="841"/>
      <c r="B16" s="871" t="s">
        <v>1953</v>
      </c>
      <c r="C16" s="861"/>
      <c r="D16" s="862"/>
      <c r="E16" s="845"/>
      <c r="F16" s="456"/>
      <c r="G16" s="458"/>
      <c r="H16" s="456"/>
      <c r="I16" s="458"/>
      <c r="J16" s="174"/>
    </row>
    <row r="17" spans="1:10" ht="18" customHeight="1">
      <c r="A17" s="841"/>
      <c r="B17" s="173" t="s">
        <v>1949</v>
      </c>
      <c r="C17" s="857"/>
      <c r="D17" s="860" t="s">
        <v>1946</v>
      </c>
      <c r="E17" s="845"/>
      <c r="F17" s="456"/>
      <c r="G17" s="458"/>
      <c r="H17" s="456"/>
      <c r="I17" s="458"/>
      <c r="J17" s="174"/>
    </row>
    <row r="18" spans="1:10" ht="18" customHeight="1">
      <c r="A18" s="841"/>
      <c r="B18" s="173" t="s">
        <v>1954</v>
      </c>
      <c r="C18" s="857"/>
      <c r="D18" s="860" t="s">
        <v>1946</v>
      </c>
      <c r="E18" s="845"/>
      <c r="F18" s="456">
        <f>+C18+C17</f>
        <v>0</v>
      </c>
      <c r="G18" s="457" t="s">
        <v>132</v>
      </c>
      <c r="H18" s="456">
        <f>0.8*F18</f>
        <v>0</v>
      </c>
      <c r="I18" s="457" t="s">
        <v>131</v>
      </c>
    </row>
    <row r="19" spans="1:10" ht="18" customHeight="1">
      <c r="A19" s="841"/>
      <c r="B19" s="172" t="s">
        <v>1951</v>
      </c>
      <c r="C19" s="858"/>
      <c r="D19" s="860" t="s">
        <v>1946</v>
      </c>
      <c r="E19" s="845"/>
      <c r="F19" s="456">
        <f>+C19</f>
        <v>0</v>
      </c>
      <c r="G19" s="457" t="s">
        <v>130</v>
      </c>
      <c r="H19" s="456">
        <f>0.7*F19</f>
        <v>0</v>
      </c>
      <c r="I19" s="457" t="s">
        <v>129</v>
      </c>
    </row>
    <row r="20" spans="1:10" ht="18" customHeight="1">
      <c r="A20" s="841"/>
      <c r="B20" s="872" t="s">
        <v>1955</v>
      </c>
      <c r="C20" s="863"/>
      <c r="D20" s="860" t="s">
        <v>1946</v>
      </c>
      <c r="E20" s="845"/>
      <c r="F20" s="456">
        <f>+C20</f>
        <v>0</v>
      </c>
      <c r="G20" s="457" t="s">
        <v>128</v>
      </c>
      <c r="H20" s="456">
        <f>0.95*F20</f>
        <v>0</v>
      </c>
      <c r="I20" s="457" t="s">
        <v>127</v>
      </c>
    </row>
    <row r="21" spans="1:10" ht="30">
      <c r="A21" s="841"/>
      <c r="B21" s="869" t="s">
        <v>1957</v>
      </c>
      <c r="C21" s="861"/>
      <c r="D21" s="862"/>
      <c r="E21" s="845"/>
      <c r="F21" s="456"/>
      <c r="G21" s="457"/>
      <c r="H21" s="456"/>
      <c r="I21" s="457"/>
    </row>
    <row r="22" spans="1:10" ht="18" customHeight="1">
      <c r="A22" s="841"/>
      <c r="B22" s="173" t="s">
        <v>1950</v>
      </c>
      <c r="C22" s="857"/>
      <c r="D22" s="860" t="s">
        <v>1946</v>
      </c>
      <c r="E22" s="845"/>
      <c r="F22" s="456">
        <f>+C22</f>
        <v>0</v>
      </c>
      <c r="G22" s="457" t="s">
        <v>126</v>
      </c>
      <c r="H22" s="456">
        <f>0.4*F22</f>
        <v>0</v>
      </c>
      <c r="I22" s="457" t="s">
        <v>125</v>
      </c>
    </row>
    <row r="23" spans="1:10" ht="18" customHeight="1">
      <c r="A23" s="841"/>
      <c r="B23" s="172" t="s">
        <v>1951</v>
      </c>
      <c r="C23" s="858"/>
      <c r="D23" s="860" t="s">
        <v>1946</v>
      </c>
      <c r="E23" s="845"/>
      <c r="F23" s="456">
        <f>+C23</f>
        <v>0</v>
      </c>
      <c r="G23" s="457" t="s">
        <v>124</v>
      </c>
      <c r="H23" s="456">
        <f>0.3*F23</f>
        <v>0</v>
      </c>
      <c r="I23" s="457" t="s">
        <v>123</v>
      </c>
    </row>
    <row r="24" spans="1:10" ht="30">
      <c r="A24" s="841"/>
      <c r="B24" s="873" t="s">
        <v>1956</v>
      </c>
      <c r="C24" s="864"/>
      <c r="D24" s="865"/>
      <c r="E24" s="845"/>
      <c r="F24" s="456"/>
      <c r="G24" s="457"/>
      <c r="H24" s="456"/>
      <c r="I24" s="457"/>
    </row>
    <row r="25" spans="1:10" ht="18" customHeight="1">
      <c r="A25" s="841"/>
      <c r="B25" s="173" t="s">
        <v>1949</v>
      </c>
      <c r="C25" s="857"/>
      <c r="D25" s="860" t="s">
        <v>1946</v>
      </c>
      <c r="E25" s="845"/>
      <c r="F25" s="456"/>
      <c r="G25" s="457"/>
      <c r="H25" s="456"/>
      <c r="I25" s="457"/>
    </row>
    <row r="26" spans="1:10" ht="18" customHeight="1">
      <c r="A26" s="841"/>
      <c r="B26" s="173" t="s">
        <v>1950</v>
      </c>
      <c r="C26" s="857"/>
      <c r="D26" s="860" t="s">
        <v>1946</v>
      </c>
      <c r="E26" s="845"/>
      <c r="F26" s="456"/>
      <c r="G26" s="457"/>
      <c r="H26" s="456"/>
      <c r="I26" s="457"/>
    </row>
    <row r="27" spans="1:10" ht="18" customHeight="1">
      <c r="A27" s="841"/>
      <c r="B27" s="172" t="s">
        <v>1951</v>
      </c>
      <c r="C27" s="858"/>
      <c r="D27" s="860" t="s">
        <v>1946</v>
      </c>
      <c r="E27" s="845"/>
      <c r="F27" s="456">
        <f>+C27+C26+C25</f>
        <v>0</v>
      </c>
      <c r="G27" s="457" t="s">
        <v>122</v>
      </c>
      <c r="H27" s="456"/>
      <c r="I27" s="457"/>
    </row>
    <row r="28" spans="1:10" ht="7.5" customHeight="1">
      <c r="A28" s="841"/>
      <c r="B28" s="847"/>
      <c r="C28" s="848"/>
      <c r="D28" s="844"/>
      <c r="E28" s="844"/>
      <c r="F28" s="459"/>
      <c r="G28" s="459"/>
      <c r="H28" s="459"/>
      <c r="I28" s="459"/>
    </row>
    <row r="29" spans="1:10" ht="7.5" customHeight="1">
      <c r="A29" s="841"/>
      <c r="B29" s="841"/>
      <c r="C29" s="846"/>
      <c r="D29" s="841"/>
      <c r="E29" s="841"/>
      <c r="F29" s="460">
        <f>+F11+F15+F18+F19+F20+F22+F23+F27</f>
        <v>0</v>
      </c>
      <c r="G29" s="461" t="s">
        <v>121</v>
      </c>
      <c r="H29" s="460"/>
      <c r="I29" s="460"/>
      <c r="J29" s="171"/>
    </row>
    <row r="30" spans="1:10" ht="3" customHeight="1">
      <c r="A30" s="841"/>
      <c r="B30" s="841"/>
      <c r="C30" s="846"/>
      <c r="D30" s="841"/>
      <c r="E30" s="841"/>
      <c r="F30" s="170"/>
      <c r="G30" s="170"/>
      <c r="H30" s="170"/>
      <c r="I30" s="170"/>
      <c r="J30" s="168"/>
    </row>
    <row r="31" spans="1:10" ht="40.35" customHeight="1">
      <c r="A31" s="841"/>
      <c r="B31" s="866" t="s">
        <v>1958</v>
      </c>
      <c r="C31" s="867" t="e">
        <f>+(F6/(F6+F29-F11))*((H11+H15+H18+H19+H20+H22+H23)/F29)</f>
        <v>#DIV/0!</v>
      </c>
      <c r="D31" s="841"/>
      <c r="E31" s="841"/>
      <c r="F31" s="169"/>
      <c r="G31" s="169"/>
      <c r="H31" s="169"/>
      <c r="I31" s="169"/>
      <c r="J31" s="168"/>
    </row>
    <row r="32" spans="1:10" ht="24" customHeight="1">
      <c r="A32" s="841"/>
      <c r="B32" s="841"/>
      <c r="C32" s="842"/>
      <c r="D32" s="841"/>
      <c r="E32" s="841"/>
      <c r="F32" s="169"/>
      <c r="G32" s="169"/>
      <c r="H32" s="169"/>
      <c r="I32" s="169"/>
      <c r="J32" s="168"/>
    </row>
    <row r="33" spans="3:10" ht="40.35" customHeight="1">
      <c r="F33" s="169"/>
      <c r="G33" s="169"/>
      <c r="H33" s="169"/>
      <c r="I33" s="169"/>
      <c r="J33" s="168"/>
    </row>
    <row r="34" spans="3:10" ht="40.35" customHeight="1">
      <c r="C34" s="147"/>
      <c r="F34" s="169"/>
      <c r="G34" s="169"/>
      <c r="H34" s="169"/>
      <c r="I34" s="169"/>
      <c r="J34" s="168"/>
    </row>
  </sheetData>
  <pageMargins left="0" right="0" top="0" bottom="0" header="0" footer="0"/>
  <pageSetup paperSize="9" firstPageNumber="0" orientation="portrait" horizontalDpi="300" verticalDpi="300" r:id="rId1"/>
  <headerFooter alignWithMargins="0"/>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enableFormatConditionsCalculation="0"/>
  <dimension ref="A1"/>
  <sheetViews>
    <sheetView workbookViewId="0">
      <selection activeCell="B3" sqref="B3"/>
    </sheetView>
  </sheetViews>
  <sheetFormatPr defaultColWidth="11.42578125" defaultRowHeight="15"/>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enableFormatConditionsCalculation="0"/>
  <dimension ref="C2:E52"/>
  <sheetViews>
    <sheetView workbookViewId="0">
      <selection activeCell="D10" sqref="D10"/>
    </sheetView>
  </sheetViews>
  <sheetFormatPr defaultColWidth="11.42578125" defaultRowHeight="12"/>
  <cols>
    <col min="1" max="2" width="11.42578125" style="180"/>
    <col min="3" max="3" width="5.7109375" style="180" customWidth="1"/>
    <col min="4" max="4" width="4.85546875" style="180" customWidth="1"/>
    <col min="5" max="5" width="101.42578125" style="180" bestFit="1" customWidth="1"/>
    <col min="6" max="16384" width="11.42578125" style="180"/>
  </cols>
  <sheetData>
    <row r="2" spans="3:5" ht="12" customHeight="1">
      <c r="C2" s="1153" t="s">
        <v>176</v>
      </c>
      <c r="D2" s="1153"/>
      <c r="E2" s="1153"/>
    </row>
    <row r="3" spans="3:5">
      <c r="C3" s="1153"/>
      <c r="D3" s="1153"/>
      <c r="E3" s="1153"/>
    </row>
    <row r="4" spans="3:5">
      <c r="C4" s="1153"/>
      <c r="D4" s="1153"/>
      <c r="E4" s="1153"/>
    </row>
    <row r="5" spans="3:5">
      <c r="C5" s="1153"/>
      <c r="D5" s="1153"/>
      <c r="E5" s="1153"/>
    </row>
    <row r="7" spans="3:5" ht="9.75" customHeight="1">
      <c r="C7" s="1153" t="s">
        <v>175</v>
      </c>
      <c r="D7" s="1153"/>
      <c r="E7" s="1153"/>
    </row>
    <row r="8" spans="3:5" ht="7.5" customHeight="1">
      <c r="C8" s="1153"/>
      <c r="D8" s="1153"/>
      <c r="E8" s="1153"/>
    </row>
    <row r="10" spans="3:5" ht="26.25" thickBot="1">
      <c r="C10" s="188" t="s">
        <v>174</v>
      </c>
      <c r="D10" s="187"/>
      <c r="E10" s="187"/>
    </row>
    <row r="12" spans="3:5" ht="15">
      <c r="C12" s="182" t="s">
        <v>173</v>
      </c>
    </row>
    <row r="13" spans="3:5" ht="15">
      <c r="D13" s="182" t="s">
        <v>172</v>
      </c>
    </row>
    <row r="14" spans="3:5">
      <c r="D14" s="181" t="s">
        <v>171</v>
      </c>
    </row>
    <row r="15" spans="3:5">
      <c r="D15" s="181"/>
      <c r="E15" s="180" t="s">
        <v>170</v>
      </c>
    </row>
    <row r="16" spans="3:5">
      <c r="D16" s="181"/>
      <c r="E16" s="186" t="s">
        <v>169</v>
      </c>
    </row>
    <row r="17" spans="3:5">
      <c r="D17" s="181"/>
      <c r="E17" s="180" t="s">
        <v>168</v>
      </c>
    </row>
    <row r="18" spans="3:5">
      <c r="E18" s="180" t="s">
        <v>167</v>
      </c>
    </row>
    <row r="19" spans="3:5">
      <c r="E19" s="180" t="s">
        <v>166</v>
      </c>
    </row>
    <row r="20" spans="3:5">
      <c r="D20" s="181" t="s">
        <v>165</v>
      </c>
    </row>
    <row r="21" spans="3:5">
      <c r="D21" s="181"/>
      <c r="E21" s="180" t="s">
        <v>164</v>
      </c>
    </row>
    <row r="22" spans="3:5">
      <c r="D22" s="181"/>
      <c r="E22" s="180" t="s">
        <v>163</v>
      </c>
    </row>
    <row r="23" spans="3:5">
      <c r="D23" s="181"/>
      <c r="E23" s="180" t="s">
        <v>162</v>
      </c>
    </row>
    <row r="24" spans="3:5">
      <c r="D24" s="181" t="s">
        <v>161</v>
      </c>
    </row>
    <row r="25" spans="3:5">
      <c r="E25" s="180" t="s">
        <v>160</v>
      </c>
    </row>
    <row r="26" spans="3:5">
      <c r="E26" s="180" t="s">
        <v>159</v>
      </c>
    </row>
    <row r="27" spans="3:5">
      <c r="E27" s="180" t="s">
        <v>158</v>
      </c>
    </row>
    <row r="29" spans="3:5" ht="15">
      <c r="C29" s="182" t="s">
        <v>157</v>
      </c>
    </row>
    <row r="30" spans="3:5" ht="15">
      <c r="D30" s="182" t="s">
        <v>156</v>
      </c>
    </row>
    <row r="31" spans="3:5">
      <c r="D31" s="181" t="s">
        <v>155</v>
      </c>
    </row>
    <row r="32" spans="3:5">
      <c r="D32" s="181" t="s">
        <v>154</v>
      </c>
    </row>
    <row r="33" spans="3:5">
      <c r="E33" s="180" t="s">
        <v>153</v>
      </c>
    </row>
    <row r="34" spans="3:5">
      <c r="E34" s="185" t="s">
        <v>152</v>
      </c>
    </row>
    <row r="35" spans="3:5">
      <c r="E35" s="180" t="s">
        <v>151</v>
      </c>
    </row>
    <row r="37" spans="3:5" ht="15">
      <c r="C37" s="182" t="s">
        <v>150</v>
      </c>
    </row>
    <row r="38" spans="3:5" ht="15">
      <c r="D38" s="182" t="s">
        <v>149</v>
      </c>
    </row>
    <row r="39" spans="3:5">
      <c r="E39" s="181" t="s">
        <v>148</v>
      </c>
    </row>
    <row r="40" spans="3:5">
      <c r="E40" s="180" t="s">
        <v>147</v>
      </c>
    </row>
    <row r="42" spans="3:5" ht="26.25" thickBot="1">
      <c r="C42" s="184" t="s">
        <v>146</v>
      </c>
      <c r="D42" s="183"/>
      <c r="E42" s="183"/>
    </row>
    <row r="44" spans="3:5" ht="15">
      <c r="C44" s="182" t="s">
        <v>145</v>
      </c>
    </row>
    <row r="45" spans="3:5" ht="15">
      <c r="D45" s="182" t="s">
        <v>144</v>
      </c>
    </row>
    <row r="46" spans="3:5">
      <c r="D46" s="181" t="s">
        <v>143</v>
      </c>
    </row>
    <row r="47" spans="3:5">
      <c r="D47" s="181" t="s">
        <v>142</v>
      </c>
    </row>
    <row r="48" spans="3:5">
      <c r="D48" s="181" t="s">
        <v>141</v>
      </c>
    </row>
    <row r="49" spans="4:4">
      <c r="D49" s="181" t="s">
        <v>140</v>
      </c>
    </row>
    <row r="50" spans="4:4">
      <c r="D50" s="181" t="s">
        <v>139</v>
      </c>
    </row>
    <row r="51" spans="4:4">
      <c r="D51" s="181" t="s">
        <v>138</v>
      </c>
    </row>
    <row r="52" spans="4:4">
      <c r="D52" s="181" t="s">
        <v>137</v>
      </c>
    </row>
  </sheetData>
  <mergeCells count="2">
    <mergeCell ref="C2:E5"/>
    <mergeCell ref="C7:E8"/>
  </mergeCells>
  <hyperlinks>
    <hyperlink ref="E34" r:id="rId1"/>
    <hyperlink ref="E16" r:id="rId2" display="Pour les distance par routes : http://maps.google.be/maps?hl=fr&amp;ie=UTF-8&amp;tab=wl "/>
  </hyperlinks>
  <pageMargins left="0.78740157499999996" right="0.78740157499999996" top="0.984251969" bottom="0.984251969" header="0.4921259845" footer="0.4921259845"/>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enableFormatConditionsCalculation="0"/>
  <dimension ref="B1:U91"/>
  <sheetViews>
    <sheetView workbookViewId="0">
      <selection activeCell="F12" sqref="F12:F15"/>
    </sheetView>
  </sheetViews>
  <sheetFormatPr defaultColWidth="11.42578125" defaultRowHeight="15"/>
  <cols>
    <col min="2" max="2" width="34.42578125" bestFit="1" customWidth="1"/>
    <col min="3" max="3" width="47.140625" customWidth="1"/>
    <col min="4" max="4" width="8" customWidth="1"/>
    <col min="5" max="5" width="38.42578125" customWidth="1"/>
    <col min="6" max="6" width="13" customWidth="1"/>
    <col min="7" max="7" width="12.42578125" customWidth="1"/>
    <col min="8" max="8" width="17.85546875" customWidth="1"/>
    <col min="14" max="21" width="0" hidden="1" customWidth="1"/>
  </cols>
  <sheetData>
    <row r="1" spans="2:21" ht="15.75" thickBot="1"/>
    <row r="2" spans="2:21" ht="15.75" thickBot="1">
      <c r="B2" s="1136" t="s">
        <v>986</v>
      </c>
      <c r="C2" s="1137"/>
      <c r="D2" s="1137"/>
      <c r="E2" s="1137"/>
      <c r="F2" s="1137"/>
      <c r="G2" s="1137"/>
      <c r="H2" s="1137"/>
      <c r="I2" s="1138"/>
      <c r="N2" s="462"/>
      <c r="O2" s="462"/>
      <c r="P2" s="462"/>
      <c r="Q2" s="462"/>
      <c r="R2" s="463"/>
      <c r="S2" s="463"/>
      <c r="T2" s="463"/>
      <c r="U2" s="463"/>
    </row>
    <row r="3" spans="2:21" ht="18.75">
      <c r="N3" s="464" t="s">
        <v>982</v>
      </c>
      <c r="O3" s="462"/>
      <c r="P3" s="462"/>
      <c r="Q3" s="462"/>
      <c r="R3" s="362" t="s">
        <v>633</v>
      </c>
      <c r="S3" s="463"/>
      <c r="T3" s="463"/>
      <c r="U3" s="463"/>
    </row>
    <row r="4" spans="2:21">
      <c r="B4" s="212" t="s">
        <v>987</v>
      </c>
      <c r="C4" s="1139"/>
      <c r="D4" s="190"/>
      <c r="E4" s="212" t="s">
        <v>993</v>
      </c>
      <c r="F4" s="1140" t="s">
        <v>983</v>
      </c>
      <c r="G4" s="190"/>
      <c r="N4" s="465" t="s">
        <v>332</v>
      </c>
      <c r="O4" s="462"/>
      <c r="P4" s="462"/>
      <c r="Q4" s="462"/>
      <c r="R4" s="463"/>
      <c r="S4" s="463"/>
      <c r="T4" s="463"/>
      <c r="U4" s="463"/>
    </row>
    <row r="5" spans="2:21">
      <c r="B5" s="212" t="s">
        <v>988</v>
      </c>
      <c r="C5" s="1140"/>
      <c r="D5" s="190"/>
      <c r="E5" s="212" t="s">
        <v>994</v>
      </c>
      <c r="F5" s="1142"/>
      <c r="G5" s="190"/>
      <c r="N5" s="465" t="s">
        <v>328</v>
      </c>
      <c r="O5" s="462"/>
      <c r="P5" s="462"/>
      <c r="Q5" s="462"/>
      <c r="R5" s="463"/>
      <c r="S5" s="463"/>
      <c r="T5" s="463"/>
      <c r="U5" s="463"/>
    </row>
    <row r="6" spans="2:21">
      <c r="B6" s="212" t="s">
        <v>674</v>
      </c>
      <c r="C6" s="1140"/>
      <c r="D6" s="190"/>
      <c r="F6" s="1143"/>
      <c r="G6" s="190"/>
      <c r="N6" s="465" t="s">
        <v>325</v>
      </c>
      <c r="O6" s="462"/>
      <c r="P6" s="462"/>
      <c r="Q6" s="462"/>
      <c r="R6" s="463"/>
      <c r="S6" s="463"/>
      <c r="T6" s="463"/>
      <c r="U6" s="463"/>
    </row>
    <row r="7" spans="2:21">
      <c r="B7" s="212" t="s">
        <v>989</v>
      </c>
      <c r="C7" s="1140"/>
      <c r="D7" s="190"/>
      <c r="E7" s="212" t="s">
        <v>995</v>
      </c>
      <c r="F7" s="1142"/>
      <c r="G7" s="190"/>
      <c r="H7" s="214" t="s">
        <v>1001</v>
      </c>
      <c r="N7" s="465" t="s">
        <v>322</v>
      </c>
      <c r="O7" s="462"/>
      <c r="P7" s="462"/>
      <c r="Q7" s="462"/>
      <c r="R7" s="463"/>
      <c r="S7" s="463"/>
      <c r="T7" s="463"/>
      <c r="U7" s="463"/>
    </row>
    <row r="8" spans="2:21">
      <c r="B8" s="212" t="s">
        <v>990</v>
      </c>
      <c r="C8" s="1140"/>
      <c r="D8" s="190"/>
      <c r="E8" s="212" t="s">
        <v>996</v>
      </c>
      <c r="F8" s="1142"/>
      <c r="G8" s="213" t="s">
        <v>343</v>
      </c>
      <c r="H8" s="834">
        <f>F8*IF(G8="Md€",1000,1)*IF(G8="M€",1,1)*IF(G8="k€",0.001,1)*IF(G8="€",0.000001,1)</f>
        <v>0</v>
      </c>
      <c r="N8" s="465" t="s">
        <v>319</v>
      </c>
      <c r="O8" s="462"/>
      <c r="P8" s="462"/>
      <c r="Q8" s="462"/>
      <c r="R8" s="463"/>
      <c r="S8" s="463"/>
      <c r="T8" s="463"/>
      <c r="U8" s="463"/>
    </row>
    <row r="9" spans="2:21">
      <c r="B9" s="212" t="s">
        <v>991</v>
      </c>
      <c r="C9" s="1140"/>
      <c r="F9" s="1143"/>
      <c r="N9" s="465" t="s">
        <v>316</v>
      </c>
      <c r="O9" s="462"/>
      <c r="P9" s="462"/>
      <c r="Q9" s="462"/>
      <c r="R9" s="463"/>
      <c r="S9" s="463"/>
      <c r="T9" s="463"/>
      <c r="U9" s="463"/>
    </row>
    <row r="10" spans="2:21">
      <c r="B10" s="212" t="s">
        <v>992</v>
      </c>
      <c r="C10" s="1141"/>
      <c r="F10" s="1143"/>
      <c r="G10" s="190"/>
      <c r="N10" s="465" t="s">
        <v>312</v>
      </c>
      <c r="O10" s="462"/>
      <c r="P10" s="462"/>
      <c r="Q10" s="462"/>
      <c r="R10" s="463"/>
      <c r="S10" s="463"/>
      <c r="T10" s="463"/>
      <c r="U10" s="463"/>
    </row>
    <row r="11" spans="2:21">
      <c r="F11" s="1143"/>
      <c r="N11" s="465" t="s">
        <v>309</v>
      </c>
      <c r="O11" s="462"/>
      <c r="P11" s="462"/>
      <c r="Q11" s="462"/>
      <c r="R11" s="463"/>
      <c r="S11" s="463"/>
      <c r="T11" s="463"/>
      <c r="U11" s="463"/>
    </row>
    <row r="12" spans="2:21">
      <c r="E12" s="839" t="s">
        <v>997</v>
      </c>
      <c r="F12" s="1142"/>
      <c r="G12" s="190" t="s">
        <v>342</v>
      </c>
      <c r="N12" s="465" t="s">
        <v>306</v>
      </c>
      <c r="O12" s="462"/>
      <c r="P12" s="462"/>
      <c r="Q12" s="462"/>
      <c r="R12" s="463"/>
      <c r="S12" s="463"/>
      <c r="T12" s="463"/>
      <c r="U12" s="463"/>
    </row>
    <row r="13" spans="2:21">
      <c r="E13" s="212" t="s">
        <v>998</v>
      </c>
      <c r="F13" s="1142"/>
      <c r="G13" s="190" t="s">
        <v>342</v>
      </c>
      <c r="N13" s="465" t="s">
        <v>304</v>
      </c>
      <c r="O13" s="462"/>
      <c r="P13" s="462"/>
      <c r="Q13" s="462"/>
      <c r="R13" s="463"/>
      <c r="S13" s="463"/>
      <c r="T13" s="463"/>
      <c r="U13" s="463"/>
    </row>
    <row r="14" spans="2:21" ht="29.25">
      <c r="B14" s="216"/>
      <c r="C14" s="215"/>
      <c r="E14" s="839" t="s">
        <v>999</v>
      </c>
      <c r="F14" s="1142"/>
      <c r="G14" s="190" t="s">
        <v>342</v>
      </c>
      <c r="N14" s="465" t="s">
        <v>302</v>
      </c>
      <c r="O14" s="462"/>
      <c r="P14" s="462"/>
      <c r="Q14" s="462"/>
      <c r="R14" s="463"/>
      <c r="S14" s="463"/>
      <c r="T14" s="463"/>
      <c r="U14" s="463"/>
    </row>
    <row r="15" spans="2:21">
      <c r="B15" s="216"/>
      <c r="C15" s="215"/>
      <c r="D15" s="190"/>
      <c r="E15" s="212" t="s">
        <v>1000</v>
      </c>
      <c r="F15" s="1142"/>
      <c r="G15" s="190" t="s">
        <v>342</v>
      </c>
      <c r="N15" s="465" t="s">
        <v>298</v>
      </c>
      <c r="O15" s="462"/>
      <c r="P15" s="462"/>
      <c r="Q15" s="462"/>
      <c r="R15" s="463"/>
      <c r="S15" s="463"/>
      <c r="T15" s="463"/>
      <c r="U15" s="463"/>
    </row>
    <row r="16" spans="2:21">
      <c r="G16" s="190"/>
      <c r="N16" s="465" t="s">
        <v>294</v>
      </c>
      <c r="O16" s="462"/>
      <c r="P16" s="462"/>
      <c r="Q16" s="462"/>
      <c r="R16" s="463"/>
      <c r="S16" s="463"/>
      <c r="T16" s="463"/>
      <c r="U16" s="463"/>
    </row>
    <row r="17" spans="5:21">
      <c r="G17" s="190"/>
      <c r="N17" s="465" t="s">
        <v>291</v>
      </c>
      <c r="O17" s="462"/>
      <c r="P17" s="462"/>
      <c r="Q17" s="462"/>
      <c r="R17" s="463"/>
      <c r="S17" s="463"/>
      <c r="T17" s="463"/>
      <c r="U17" s="463"/>
    </row>
    <row r="18" spans="5:21">
      <c r="E18" s="190"/>
      <c r="G18" s="190"/>
      <c r="N18" s="465" t="s">
        <v>283</v>
      </c>
      <c r="O18" s="462"/>
      <c r="P18" s="462"/>
      <c r="Q18" s="462"/>
      <c r="R18" s="463"/>
      <c r="S18" s="463"/>
      <c r="T18" s="463"/>
      <c r="U18" s="463"/>
    </row>
    <row r="19" spans="5:21">
      <c r="E19" s="190"/>
      <c r="G19" s="190"/>
      <c r="N19" s="465" t="s">
        <v>282</v>
      </c>
      <c r="O19" s="462"/>
      <c r="P19" s="462"/>
      <c r="Q19" s="462"/>
      <c r="R19" s="463"/>
      <c r="S19" s="463"/>
      <c r="T19" s="463"/>
      <c r="U19" s="463"/>
    </row>
    <row r="20" spans="5:21">
      <c r="E20" s="190"/>
      <c r="G20" s="190"/>
      <c r="N20" s="465" t="s">
        <v>281</v>
      </c>
      <c r="O20" s="462"/>
      <c r="P20" s="462"/>
      <c r="Q20" s="462"/>
      <c r="R20" s="463"/>
      <c r="S20" s="463"/>
      <c r="T20" s="463"/>
      <c r="U20" s="463"/>
    </row>
    <row r="21" spans="5:21">
      <c r="F21" s="190"/>
      <c r="G21" s="190"/>
      <c r="N21" s="465" t="s">
        <v>280</v>
      </c>
      <c r="O21" s="462"/>
      <c r="P21" s="462"/>
      <c r="Q21" s="462"/>
      <c r="R21" s="463"/>
      <c r="S21" s="463"/>
      <c r="T21" s="463"/>
      <c r="U21" s="463"/>
    </row>
    <row r="22" spans="5:21">
      <c r="N22" s="465" t="s">
        <v>279</v>
      </c>
      <c r="O22" s="462"/>
      <c r="P22" s="462"/>
      <c r="Q22" s="462"/>
      <c r="R22" s="463"/>
      <c r="S22" s="463"/>
      <c r="T22" s="463"/>
      <c r="U22" s="463"/>
    </row>
    <row r="23" spans="5:21">
      <c r="N23" s="465" t="s">
        <v>278</v>
      </c>
      <c r="O23" s="462"/>
      <c r="P23" s="462"/>
      <c r="Q23" s="462"/>
      <c r="R23" s="463"/>
      <c r="S23" s="463"/>
      <c r="T23" s="463"/>
      <c r="U23" s="463"/>
    </row>
    <row r="24" spans="5:21">
      <c r="N24" s="465" t="s">
        <v>277</v>
      </c>
      <c r="O24" s="462"/>
      <c r="P24" s="462"/>
      <c r="Q24" s="462"/>
      <c r="R24" s="463"/>
      <c r="S24" s="463"/>
      <c r="T24" s="463"/>
      <c r="U24" s="463"/>
    </row>
    <row r="25" spans="5:21">
      <c r="N25" s="465" t="s">
        <v>276</v>
      </c>
      <c r="O25" s="462"/>
      <c r="P25" s="462"/>
      <c r="Q25" s="462"/>
      <c r="R25" s="463"/>
      <c r="S25" s="463"/>
      <c r="T25" s="463"/>
      <c r="U25" s="463"/>
    </row>
    <row r="26" spans="5:21">
      <c r="N26" s="465" t="s">
        <v>275</v>
      </c>
      <c r="O26" s="462"/>
      <c r="P26" s="462"/>
      <c r="Q26" s="462"/>
      <c r="R26" s="463"/>
      <c r="S26" s="463"/>
      <c r="T26" s="463"/>
      <c r="U26" s="463"/>
    </row>
    <row r="27" spans="5:21">
      <c r="N27" s="465" t="s">
        <v>274</v>
      </c>
      <c r="O27" s="462"/>
      <c r="P27" s="462"/>
      <c r="Q27" s="462"/>
      <c r="R27" s="463"/>
      <c r="S27" s="463"/>
      <c r="T27" s="463"/>
      <c r="U27" s="463"/>
    </row>
    <row r="28" spans="5:21">
      <c r="N28" s="465" t="s">
        <v>273</v>
      </c>
      <c r="O28" s="462"/>
      <c r="P28" s="462"/>
      <c r="Q28" s="462"/>
      <c r="R28" s="463"/>
      <c r="S28" s="463"/>
      <c r="T28" s="463"/>
      <c r="U28" s="463"/>
    </row>
    <row r="29" spans="5:21">
      <c r="N29" s="465" t="s">
        <v>272</v>
      </c>
      <c r="O29" s="462"/>
      <c r="P29" s="462"/>
      <c r="Q29" s="462"/>
      <c r="R29" s="463"/>
      <c r="S29" s="463"/>
      <c r="T29" s="463"/>
      <c r="U29" s="463"/>
    </row>
    <row r="30" spans="5:21">
      <c r="N30" s="465" t="s">
        <v>271</v>
      </c>
      <c r="O30" s="462"/>
      <c r="P30" s="462"/>
      <c r="Q30" s="462"/>
      <c r="R30" s="463"/>
      <c r="S30" s="463"/>
      <c r="T30" s="463"/>
      <c r="U30" s="463"/>
    </row>
    <row r="31" spans="5:21">
      <c r="N31" s="465" t="s">
        <v>270</v>
      </c>
      <c r="O31" s="462"/>
      <c r="P31" s="462"/>
      <c r="Q31" s="462"/>
      <c r="R31" s="463"/>
      <c r="S31" s="463"/>
      <c r="T31" s="463"/>
      <c r="U31" s="463"/>
    </row>
    <row r="32" spans="5:21">
      <c r="N32" s="465" t="s">
        <v>269</v>
      </c>
      <c r="O32" s="462"/>
      <c r="P32" s="462"/>
      <c r="Q32" s="462"/>
      <c r="R32" s="463"/>
      <c r="S32" s="463"/>
      <c r="T32" s="463"/>
      <c r="U32" s="463"/>
    </row>
    <row r="33" spans="14:21">
      <c r="N33" s="465" t="s">
        <v>268</v>
      </c>
      <c r="O33" s="462"/>
      <c r="P33" s="462"/>
      <c r="Q33" s="462"/>
      <c r="R33" s="463"/>
      <c r="S33" s="463"/>
      <c r="T33" s="463"/>
      <c r="U33" s="463"/>
    </row>
    <row r="34" spans="14:21">
      <c r="N34" s="465" t="s">
        <v>266</v>
      </c>
      <c r="O34" s="462"/>
      <c r="P34" s="462"/>
      <c r="Q34" s="462"/>
      <c r="R34" s="463"/>
      <c r="S34" s="463"/>
      <c r="T34" s="463"/>
      <c r="U34" s="463"/>
    </row>
    <row r="35" spans="14:21">
      <c r="N35" s="465" t="s">
        <v>264</v>
      </c>
      <c r="O35" s="462"/>
      <c r="P35" s="462"/>
      <c r="Q35" s="462"/>
      <c r="R35" s="463"/>
      <c r="S35" s="463"/>
      <c r="T35" s="463"/>
      <c r="U35" s="463"/>
    </row>
    <row r="36" spans="14:21">
      <c r="N36" s="465" t="s">
        <v>262</v>
      </c>
      <c r="O36" s="462"/>
      <c r="P36" s="462"/>
      <c r="Q36" s="462"/>
      <c r="R36" s="463"/>
      <c r="S36" s="463"/>
      <c r="T36" s="463"/>
      <c r="U36" s="463"/>
    </row>
    <row r="37" spans="14:21">
      <c r="N37" s="465" t="s">
        <v>260</v>
      </c>
      <c r="O37" s="462"/>
      <c r="P37" s="462"/>
      <c r="Q37" s="462"/>
      <c r="R37" s="463"/>
      <c r="S37" s="463"/>
      <c r="T37" s="463"/>
      <c r="U37" s="463"/>
    </row>
    <row r="38" spans="14:21">
      <c r="N38" s="465" t="s">
        <v>258</v>
      </c>
      <c r="O38" s="462"/>
      <c r="P38" s="462"/>
      <c r="Q38" s="462"/>
      <c r="R38" s="463"/>
      <c r="S38" s="463"/>
      <c r="T38" s="463"/>
      <c r="U38" s="463"/>
    </row>
    <row r="39" spans="14:21">
      <c r="N39" s="465" t="s">
        <v>256</v>
      </c>
      <c r="O39" s="462"/>
      <c r="P39" s="462"/>
      <c r="Q39" s="462"/>
      <c r="R39" s="463"/>
      <c r="S39" s="463"/>
      <c r="T39" s="463"/>
      <c r="U39" s="463"/>
    </row>
    <row r="40" spans="14:21">
      <c r="N40" s="465" t="s">
        <v>254</v>
      </c>
      <c r="O40" s="462"/>
      <c r="P40" s="462"/>
      <c r="Q40" s="462"/>
      <c r="R40" s="463"/>
      <c r="S40" s="463"/>
      <c r="T40" s="463"/>
      <c r="U40" s="463"/>
    </row>
    <row r="41" spans="14:21">
      <c r="N41" s="465" t="s">
        <v>252</v>
      </c>
      <c r="O41" s="462"/>
      <c r="P41" s="462"/>
      <c r="Q41" s="462"/>
      <c r="R41" s="463"/>
      <c r="S41" s="463"/>
      <c r="T41" s="463"/>
      <c r="U41" s="463"/>
    </row>
    <row r="42" spans="14:21">
      <c r="N42" s="465" t="s">
        <v>250</v>
      </c>
      <c r="O42" s="462"/>
      <c r="P42" s="462"/>
      <c r="Q42" s="462"/>
      <c r="R42" s="463"/>
      <c r="S42" s="463"/>
      <c r="T42" s="463"/>
      <c r="U42" s="463"/>
    </row>
    <row r="43" spans="14:21">
      <c r="N43" s="465" t="s">
        <v>248</v>
      </c>
      <c r="O43" s="462"/>
      <c r="P43" s="462"/>
      <c r="Q43" s="462"/>
      <c r="R43" s="463"/>
      <c r="S43" s="463"/>
      <c r="T43" s="463"/>
      <c r="U43" s="463"/>
    </row>
    <row r="44" spans="14:21">
      <c r="N44" s="465" t="s">
        <v>247</v>
      </c>
      <c r="O44" s="462"/>
      <c r="P44" s="462"/>
      <c r="Q44" s="462"/>
      <c r="R44" s="463"/>
      <c r="S44" s="463"/>
      <c r="T44" s="463"/>
      <c r="U44" s="463"/>
    </row>
    <row r="45" spans="14:21">
      <c r="N45" s="465" t="s">
        <v>246</v>
      </c>
      <c r="O45" s="462"/>
      <c r="P45" s="462"/>
      <c r="Q45" s="462"/>
      <c r="R45" s="463"/>
      <c r="S45" s="463"/>
      <c r="T45" s="463"/>
      <c r="U45" s="463"/>
    </row>
    <row r="46" spans="14:21">
      <c r="N46" s="465" t="s">
        <v>245</v>
      </c>
      <c r="O46" s="462"/>
      <c r="P46" s="462"/>
      <c r="Q46" s="462"/>
      <c r="R46" s="463"/>
      <c r="S46" s="463"/>
      <c r="T46" s="463"/>
      <c r="U46" s="463"/>
    </row>
    <row r="47" spans="14:21">
      <c r="N47" s="465" t="s">
        <v>243</v>
      </c>
      <c r="O47" s="462"/>
      <c r="P47" s="462"/>
      <c r="Q47" s="462"/>
      <c r="R47" s="463"/>
      <c r="S47" s="463"/>
      <c r="T47" s="463"/>
      <c r="U47" s="463"/>
    </row>
    <row r="48" spans="14:21">
      <c r="N48" s="465" t="s">
        <v>240</v>
      </c>
      <c r="O48" s="462"/>
      <c r="P48" s="462"/>
      <c r="Q48" s="462"/>
      <c r="R48" s="463"/>
      <c r="S48" s="463"/>
      <c r="T48" s="463"/>
      <c r="U48" s="463"/>
    </row>
    <row r="49" spans="14:21">
      <c r="N49" s="465" t="s">
        <v>237</v>
      </c>
      <c r="O49" s="462"/>
      <c r="P49" s="462"/>
      <c r="Q49" s="462"/>
      <c r="R49" s="463"/>
      <c r="S49" s="463"/>
      <c r="T49" s="463"/>
      <c r="U49" s="463"/>
    </row>
    <row r="50" spans="14:21">
      <c r="N50" s="465" t="s">
        <v>234</v>
      </c>
      <c r="O50" s="462"/>
      <c r="P50" s="462"/>
      <c r="Q50" s="462"/>
      <c r="R50" s="463"/>
      <c r="S50" s="463"/>
      <c r="T50" s="463"/>
      <c r="U50" s="463"/>
    </row>
    <row r="51" spans="14:21">
      <c r="N51" s="465" t="s">
        <v>231</v>
      </c>
      <c r="O51" s="462"/>
      <c r="P51" s="462"/>
      <c r="Q51" s="462"/>
      <c r="R51" s="463"/>
      <c r="S51" s="463"/>
      <c r="T51" s="463"/>
      <c r="U51" s="463"/>
    </row>
    <row r="52" spans="14:21">
      <c r="N52" s="465" t="s">
        <v>228</v>
      </c>
      <c r="O52" s="462"/>
      <c r="P52" s="462"/>
      <c r="Q52" s="462"/>
      <c r="R52" s="463"/>
      <c r="S52" s="463"/>
      <c r="T52" s="463"/>
      <c r="U52" s="463"/>
    </row>
    <row r="53" spans="14:21">
      <c r="N53" s="465" t="s">
        <v>225</v>
      </c>
      <c r="O53" s="462"/>
      <c r="P53" s="462"/>
      <c r="Q53" s="462"/>
      <c r="R53" s="463"/>
      <c r="S53" s="463"/>
      <c r="T53" s="463"/>
      <c r="U53" s="463"/>
    </row>
    <row r="54" spans="14:21">
      <c r="N54" s="465" t="s">
        <v>222</v>
      </c>
      <c r="O54" s="462"/>
      <c r="P54" s="462"/>
      <c r="Q54" s="462"/>
      <c r="R54" s="463"/>
      <c r="S54" s="463"/>
      <c r="T54" s="463"/>
      <c r="U54" s="463"/>
    </row>
    <row r="55" spans="14:21">
      <c r="N55" s="465" t="s">
        <v>219</v>
      </c>
      <c r="O55" s="462"/>
      <c r="P55" s="462"/>
      <c r="Q55" s="462"/>
      <c r="R55" s="463"/>
      <c r="S55" s="463"/>
      <c r="T55" s="463"/>
      <c r="U55" s="463"/>
    </row>
    <row r="56" spans="14:21">
      <c r="N56" s="465" t="s">
        <v>216</v>
      </c>
      <c r="O56" s="462"/>
      <c r="P56" s="462"/>
      <c r="Q56" s="462"/>
      <c r="R56" s="463"/>
      <c r="S56" s="463"/>
      <c r="T56" s="463"/>
      <c r="U56" s="463"/>
    </row>
    <row r="57" spans="14:21">
      <c r="N57" s="465" t="s">
        <v>213</v>
      </c>
      <c r="O57" s="462"/>
      <c r="P57" s="462"/>
      <c r="Q57" s="462"/>
      <c r="R57" s="463"/>
      <c r="S57" s="463"/>
      <c r="T57" s="463"/>
      <c r="U57" s="463"/>
    </row>
    <row r="58" spans="14:21">
      <c r="N58" s="465" t="s">
        <v>210</v>
      </c>
      <c r="O58" s="462"/>
      <c r="P58" s="462"/>
      <c r="Q58" s="462"/>
      <c r="R58" s="463"/>
      <c r="S58" s="463"/>
      <c r="T58" s="463"/>
      <c r="U58" s="463"/>
    </row>
    <row r="59" spans="14:21">
      <c r="N59" s="465" t="s">
        <v>209</v>
      </c>
      <c r="O59" s="462"/>
      <c r="P59" s="462"/>
      <c r="Q59" s="462"/>
      <c r="R59" s="463"/>
      <c r="S59" s="463"/>
      <c r="T59" s="463"/>
      <c r="U59" s="463"/>
    </row>
    <row r="60" spans="14:21">
      <c r="N60" s="465" t="s">
        <v>208</v>
      </c>
      <c r="O60" s="462"/>
      <c r="P60" s="462"/>
      <c r="Q60" s="462"/>
      <c r="R60" s="463"/>
      <c r="S60" s="463"/>
      <c r="T60" s="463"/>
      <c r="U60" s="463"/>
    </row>
    <row r="61" spans="14:21">
      <c r="N61" s="465" t="s">
        <v>207</v>
      </c>
      <c r="O61" s="462"/>
      <c r="P61" s="462"/>
      <c r="Q61" s="462"/>
      <c r="R61" s="463"/>
      <c r="S61" s="463"/>
      <c r="T61" s="463"/>
      <c r="U61" s="463"/>
    </row>
    <row r="62" spans="14:21">
      <c r="N62" s="465" t="s">
        <v>206</v>
      </c>
      <c r="O62" s="462"/>
      <c r="P62" s="462"/>
      <c r="Q62" s="462"/>
      <c r="R62" s="463"/>
      <c r="S62" s="463"/>
      <c r="T62" s="463"/>
      <c r="U62" s="463"/>
    </row>
    <row r="63" spans="14:21">
      <c r="N63" s="465" t="s">
        <v>205</v>
      </c>
      <c r="O63" s="462"/>
      <c r="P63" s="462"/>
      <c r="Q63" s="462"/>
      <c r="R63" s="463"/>
      <c r="S63" s="463"/>
      <c r="T63" s="463"/>
      <c r="U63" s="463"/>
    </row>
    <row r="64" spans="14:21">
      <c r="N64" s="465" t="s">
        <v>204</v>
      </c>
      <c r="O64" s="462"/>
      <c r="P64" s="462"/>
      <c r="Q64" s="462"/>
      <c r="R64" s="463"/>
      <c r="S64" s="463"/>
      <c r="T64" s="463"/>
      <c r="U64" s="463"/>
    </row>
    <row r="65" spans="14:21">
      <c r="N65" s="465" t="s">
        <v>203</v>
      </c>
      <c r="O65" s="462"/>
      <c r="P65" s="462"/>
      <c r="Q65" s="462"/>
      <c r="R65" s="463"/>
      <c r="S65" s="463"/>
      <c r="T65" s="463"/>
      <c r="U65" s="463"/>
    </row>
    <row r="66" spans="14:21">
      <c r="N66" s="465" t="s">
        <v>202</v>
      </c>
      <c r="O66" s="462"/>
      <c r="P66" s="462"/>
      <c r="Q66" s="462"/>
      <c r="R66" s="463"/>
      <c r="S66" s="463"/>
      <c r="T66" s="463"/>
      <c r="U66" s="463"/>
    </row>
    <row r="67" spans="14:21">
      <c r="N67" s="465" t="s">
        <v>201</v>
      </c>
      <c r="O67" s="462"/>
      <c r="P67" s="462"/>
      <c r="Q67" s="462"/>
      <c r="R67" s="463"/>
      <c r="S67" s="463"/>
      <c r="T67" s="463"/>
      <c r="U67" s="463"/>
    </row>
    <row r="68" spans="14:21">
      <c r="N68" s="465" t="s">
        <v>200</v>
      </c>
      <c r="O68" s="462"/>
      <c r="P68" s="462"/>
      <c r="Q68" s="462"/>
      <c r="R68" s="463"/>
      <c r="S68" s="463"/>
      <c r="T68" s="463"/>
      <c r="U68" s="463"/>
    </row>
    <row r="69" spans="14:21">
      <c r="N69" s="465" t="s">
        <v>199</v>
      </c>
      <c r="O69" s="462"/>
      <c r="P69" s="462"/>
      <c r="Q69" s="462"/>
      <c r="R69" s="463"/>
      <c r="S69" s="463"/>
      <c r="T69" s="463"/>
      <c r="U69" s="463"/>
    </row>
    <row r="70" spans="14:21">
      <c r="N70" s="465" t="s">
        <v>198</v>
      </c>
      <c r="O70" s="462"/>
      <c r="P70" s="462"/>
      <c r="Q70" s="462"/>
      <c r="R70" s="463"/>
      <c r="S70" s="463"/>
      <c r="T70" s="463"/>
      <c r="U70" s="463"/>
    </row>
    <row r="71" spans="14:21">
      <c r="N71" s="465" t="s">
        <v>197</v>
      </c>
      <c r="O71" s="462"/>
      <c r="P71" s="462"/>
      <c r="Q71" s="462"/>
      <c r="R71" s="463"/>
      <c r="S71" s="463"/>
      <c r="T71" s="463"/>
      <c r="U71" s="463"/>
    </row>
    <row r="72" spans="14:21">
      <c r="N72" s="465" t="s">
        <v>196</v>
      </c>
      <c r="O72" s="462"/>
      <c r="P72" s="462"/>
      <c r="Q72" s="462"/>
      <c r="R72" s="463"/>
      <c r="S72" s="463"/>
      <c r="T72" s="463"/>
      <c r="U72" s="463"/>
    </row>
    <row r="73" spans="14:21">
      <c r="N73" s="465" t="s">
        <v>195</v>
      </c>
      <c r="O73" s="462"/>
      <c r="P73" s="462"/>
      <c r="Q73" s="462"/>
      <c r="R73" s="463"/>
      <c r="S73" s="463"/>
      <c r="T73" s="463"/>
      <c r="U73" s="463"/>
    </row>
    <row r="74" spans="14:21">
      <c r="N74" s="465" t="s">
        <v>194</v>
      </c>
      <c r="O74" s="462"/>
      <c r="P74" s="462"/>
      <c r="Q74" s="462"/>
      <c r="R74" s="463"/>
      <c r="S74" s="463"/>
      <c r="T74" s="463"/>
      <c r="U74" s="463"/>
    </row>
    <row r="75" spans="14:21">
      <c r="N75" s="465" t="s">
        <v>193</v>
      </c>
      <c r="O75" s="462"/>
      <c r="P75" s="462"/>
      <c r="Q75" s="462"/>
      <c r="R75" s="463"/>
      <c r="S75" s="463"/>
      <c r="T75" s="463"/>
      <c r="U75" s="463"/>
    </row>
    <row r="76" spans="14:21">
      <c r="N76" s="465" t="s">
        <v>192</v>
      </c>
      <c r="O76" s="462"/>
      <c r="P76" s="462"/>
      <c r="Q76" s="462"/>
      <c r="R76" s="463"/>
      <c r="S76" s="463"/>
      <c r="T76" s="463"/>
      <c r="U76" s="463"/>
    </row>
    <row r="77" spans="14:21">
      <c r="N77" s="465" t="s">
        <v>191</v>
      </c>
      <c r="O77" s="462"/>
      <c r="P77" s="462"/>
      <c r="Q77" s="462"/>
      <c r="R77" s="463"/>
      <c r="S77" s="463"/>
      <c r="T77" s="463"/>
      <c r="U77" s="463"/>
    </row>
    <row r="78" spans="14:21">
      <c r="N78" s="465" t="s">
        <v>190</v>
      </c>
      <c r="O78" s="462"/>
      <c r="P78" s="462"/>
      <c r="Q78" s="462"/>
      <c r="R78" s="463"/>
      <c r="S78" s="463"/>
      <c r="T78" s="463"/>
      <c r="U78" s="463"/>
    </row>
    <row r="79" spans="14:21">
      <c r="N79" s="465" t="s">
        <v>189</v>
      </c>
      <c r="O79" s="462"/>
      <c r="P79" s="462"/>
      <c r="Q79" s="462"/>
      <c r="R79" s="463"/>
      <c r="S79" s="463"/>
      <c r="T79" s="463"/>
      <c r="U79" s="463"/>
    </row>
    <row r="80" spans="14:21">
      <c r="N80" s="465" t="s">
        <v>188</v>
      </c>
      <c r="O80" s="462"/>
      <c r="P80" s="462"/>
      <c r="Q80" s="462"/>
      <c r="R80" s="463"/>
      <c r="S80" s="463"/>
      <c r="T80" s="463"/>
      <c r="U80" s="463"/>
    </row>
    <row r="81" spans="14:21">
      <c r="N81" s="465" t="s">
        <v>187</v>
      </c>
      <c r="O81" s="462"/>
      <c r="P81" s="462"/>
      <c r="Q81" s="462"/>
      <c r="R81" s="463"/>
      <c r="S81" s="463"/>
      <c r="T81" s="463"/>
      <c r="U81" s="463"/>
    </row>
    <row r="82" spans="14:21">
      <c r="N82" s="465" t="s">
        <v>186</v>
      </c>
      <c r="O82" s="462"/>
      <c r="P82" s="462"/>
      <c r="Q82" s="462"/>
      <c r="R82" s="463"/>
      <c r="S82" s="463"/>
      <c r="T82" s="463"/>
      <c r="U82" s="463"/>
    </row>
    <row r="83" spans="14:21">
      <c r="N83" s="465" t="s">
        <v>185</v>
      </c>
      <c r="O83" s="462"/>
      <c r="P83" s="462"/>
      <c r="Q83" s="462"/>
      <c r="R83" s="463"/>
      <c r="S83" s="463"/>
      <c r="T83" s="463"/>
      <c r="U83" s="463"/>
    </row>
    <row r="84" spans="14:21">
      <c r="N84" s="465" t="s">
        <v>184</v>
      </c>
      <c r="O84" s="462"/>
      <c r="P84" s="462"/>
      <c r="Q84" s="462"/>
      <c r="R84" s="463"/>
      <c r="S84" s="463"/>
      <c r="T84" s="463"/>
      <c r="U84" s="463"/>
    </row>
    <row r="85" spans="14:21">
      <c r="N85" s="465" t="s">
        <v>183</v>
      </c>
      <c r="O85" s="462"/>
      <c r="P85" s="462"/>
      <c r="Q85" s="462"/>
      <c r="R85" s="463"/>
      <c r="S85" s="463"/>
      <c r="T85" s="463"/>
      <c r="U85" s="463"/>
    </row>
    <row r="86" spans="14:21">
      <c r="N86" s="465" t="s">
        <v>182</v>
      </c>
      <c r="O86" s="462"/>
      <c r="P86" s="462"/>
      <c r="Q86" s="462"/>
      <c r="R86" s="463"/>
      <c r="S86" s="463"/>
      <c r="T86" s="463"/>
      <c r="U86" s="463"/>
    </row>
    <row r="87" spans="14:21">
      <c r="N87" s="465" t="s">
        <v>181</v>
      </c>
      <c r="O87" s="462"/>
      <c r="P87" s="462"/>
      <c r="Q87" s="462"/>
      <c r="R87" s="463"/>
      <c r="S87" s="463"/>
      <c r="T87" s="463"/>
      <c r="U87" s="463"/>
    </row>
    <row r="88" spans="14:21">
      <c r="N88" s="465" t="s">
        <v>180</v>
      </c>
      <c r="O88" s="462"/>
      <c r="P88" s="462"/>
      <c r="Q88" s="462"/>
      <c r="R88" s="463"/>
      <c r="S88" s="463"/>
      <c r="T88" s="463"/>
      <c r="U88" s="463"/>
    </row>
    <row r="89" spans="14:21">
      <c r="N89" s="465" t="s">
        <v>179</v>
      </c>
      <c r="O89" s="462"/>
      <c r="P89" s="462"/>
      <c r="Q89" s="462"/>
      <c r="R89" s="463"/>
      <c r="S89" s="463"/>
      <c r="T89" s="463"/>
      <c r="U89" s="463"/>
    </row>
    <row r="90" spans="14:21">
      <c r="N90" s="465" t="s">
        <v>178</v>
      </c>
      <c r="O90" s="462"/>
      <c r="P90" s="462"/>
      <c r="Q90" s="462"/>
      <c r="R90" s="463"/>
      <c r="S90" s="463"/>
      <c r="T90" s="463"/>
      <c r="U90" s="463"/>
    </row>
    <row r="91" spans="14:21">
      <c r="N91" s="465" t="s">
        <v>177</v>
      </c>
      <c r="O91" s="462"/>
      <c r="P91" s="462"/>
      <c r="Q91" s="462"/>
      <c r="R91" s="463"/>
      <c r="S91" s="463"/>
      <c r="T91" s="463"/>
      <c r="U91" s="463"/>
    </row>
  </sheetData>
  <dataValidations count="2">
    <dataValidation type="list" allowBlank="1" showInputMessage="1" showErrorMessage="1" sqref="G8">
      <formula1>"€,k€,M€,Md€"</formula1>
    </dataValidation>
    <dataValidation type="list" allowBlank="1" showInputMessage="1" showErrorMessage="1" sqref="C10">
      <formula1>NACE</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enableFormatConditionsCalculation="0">
    <pageSetUpPr fitToPage="1"/>
  </sheetPr>
  <dimension ref="A2:R59"/>
  <sheetViews>
    <sheetView showGridLines="0" zoomScale="70" zoomScaleNormal="70" zoomScalePageLayoutView="70" workbookViewId="0">
      <selection activeCell="N43" sqref="N43"/>
    </sheetView>
  </sheetViews>
  <sheetFormatPr defaultColWidth="11.42578125" defaultRowHeight="15"/>
  <cols>
    <col min="1" max="1" width="1.28515625" customWidth="1"/>
    <col min="3" max="3" width="1" bestFit="1" customWidth="1"/>
    <col min="4" max="4" width="33.42578125" bestFit="1" customWidth="1"/>
    <col min="5" max="5" width="1" bestFit="1" customWidth="1"/>
  </cols>
  <sheetData>
    <row r="2" spans="2:18">
      <c r="B2" s="815"/>
      <c r="C2" s="815"/>
      <c r="D2" s="826" t="s">
        <v>1186</v>
      </c>
      <c r="E2" s="360"/>
      <c r="F2" s="360"/>
      <c r="G2" s="360"/>
      <c r="H2" s="360"/>
      <c r="I2" s="360"/>
      <c r="J2" s="361"/>
      <c r="K2" s="361"/>
      <c r="L2" s="361"/>
      <c r="M2" s="361"/>
      <c r="N2" s="816"/>
      <c r="O2" s="816"/>
      <c r="P2" s="816"/>
      <c r="Q2" s="815"/>
      <c r="R2" s="815"/>
    </row>
    <row r="3" spans="2:18">
      <c r="F3" s="337"/>
      <c r="G3" s="337"/>
    </row>
    <row r="4" spans="2:18">
      <c r="F4" s="337"/>
      <c r="G4" s="337"/>
    </row>
    <row r="5" spans="2:18">
      <c r="F5" s="337"/>
      <c r="G5" s="337"/>
    </row>
    <row r="6" spans="2:18">
      <c r="F6" s="337"/>
      <c r="G6" s="337"/>
    </row>
    <row r="7" spans="2:18">
      <c r="F7" s="337"/>
      <c r="G7" s="337"/>
    </row>
    <row r="38" spans="1:18">
      <c r="A38" s="817"/>
      <c r="B38" s="818"/>
      <c r="C38" s="818"/>
      <c r="D38" s="818"/>
      <c r="E38" s="818"/>
      <c r="F38" s="818"/>
      <c r="G38" s="818"/>
      <c r="H38" s="818"/>
      <c r="I38" s="818"/>
      <c r="J38" s="818"/>
      <c r="K38" s="818"/>
      <c r="L38" s="818"/>
      <c r="M38" s="818"/>
      <c r="N38" s="818"/>
      <c r="O38" s="818"/>
      <c r="P38" s="818"/>
      <c r="Q38" s="818"/>
      <c r="R38" s="818"/>
    </row>
    <row r="39" spans="1:18">
      <c r="A39" s="817"/>
      <c r="B39" s="818" t="s">
        <v>495</v>
      </c>
      <c r="C39" s="818"/>
      <c r="D39" s="818"/>
      <c r="E39" s="818"/>
      <c r="F39" s="818"/>
      <c r="G39" s="818"/>
      <c r="H39" s="818"/>
      <c r="I39" s="818"/>
      <c r="J39" s="818"/>
      <c r="K39" s="818"/>
      <c r="L39" s="818"/>
      <c r="M39" s="818"/>
      <c r="N39" s="818"/>
      <c r="O39" s="818"/>
      <c r="P39" s="818"/>
      <c r="Q39" s="818"/>
      <c r="R39" s="818"/>
    </row>
    <row r="40" spans="1:18" s="840" customFormat="1" ht="18.75">
      <c r="A40" s="817"/>
      <c r="B40" s="818"/>
      <c r="C40" s="818"/>
      <c r="D40" s="818"/>
      <c r="E40" s="818"/>
      <c r="F40" s="818"/>
      <c r="G40" s="818"/>
      <c r="H40" s="818"/>
      <c r="I40" s="818"/>
      <c r="J40" s="818"/>
      <c r="K40" s="818"/>
      <c r="L40" s="818"/>
      <c r="M40" s="818"/>
      <c r="N40" s="818"/>
      <c r="O40" s="819" t="s">
        <v>633</v>
      </c>
      <c r="P40" s="818"/>
      <c r="Q40" s="818"/>
      <c r="R40" s="818"/>
    </row>
    <row r="41" spans="1:18" s="840" customFormat="1">
      <c r="A41" s="817"/>
      <c r="B41" s="818"/>
      <c r="C41" s="818"/>
      <c r="D41" s="818"/>
      <c r="E41" s="818"/>
      <c r="F41" s="820" t="s">
        <v>440</v>
      </c>
      <c r="G41" s="820" t="s">
        <v>491</v>
      </c>
      <c r="H41" s="818"/>
      <c r="I41" s="818"/>
      <c r="J41" s="818"/>
      <c r="K41" s="818"/>
      <c r="L41" s="818"/>
      <c r="M41" s="818"/>
      <c r="N41" s="818"/>
      <c r="O41" s="818"/>
      <c r="P41" s="818"/>
      <c r="Q41" s="818"/>
      <c r="R41" s="818"/>
    </row>
    <row r="42" spans="1:18" s="840" customFormat="1" ht="30">
      <c r="A42" s="817"/>
      <c r="B42" s="818" t="s">
        <v>488</v>
      </c>
      <c r="C42" s="821" t="s">
        <v>497</v>
      </c>
      <c r="D42" s="818" t="s">
        <v>489</v>
      </c>
      <c r="E42" s="821" t="s">
        <v>497</v>
      </c>
      <c r="F42" s="822" t="str">
        <f>IF(ISERR(G42),"Niveau non défini",IF(G42&lt;25%,0,IF(G42&lt;50%,1,IF(G42&lt;75%,2,IF(G42&lt;100%,3,4)))))</f>
        <v>Niveau non défini</v>
      </c>
      <c r="G42" s="823" t="e">
        <f>'4-Materialen gebouwen'!L419/4</f>
        <v>#VALUE!</v>
      </c>
      <c r="H42" s="818"/>
      <c r="I42" s="818">
        <v>4.0999999999999996</v>
      </c>
      <c r="J42" s="818"/>
      <c r="K42" s="818"/>
      <c r="L42" s="818"/>
      <c r="M42" s="818"/>
      <c r="N42" s="818"/>
      <c r="O42" s="818"/>
      <c r="P42" s="818"/>
      <c r="Q42" s="818"/>
      <c r="R42" s="818"/>
    </row>
    <row r="43" spans="1:18" s="840" customFormat="1" ht="30">
      <c r="A43" s="817"/>
      <c r="B43" s="818" t="s">
        <v>488</v>
      </c>
      <c r="C43" s="821" t="s">
        <v>497</v>
      </c>
      <c r="D43" s="818" t="s">
        <v>490</v>
      </c>
      <c r="E43" s="821" t="s">
        <v>497</v>
      </c>
      <c r="F43" s="822">
        <f>IF(ISERR(G43),"Niveau non défini",IF(G43&lt;25%,0,IF(G43&lt;50%,1,IF(G43&lt;75%,2,IF(G43&lt;100%,3,4)))))</f>
        <v>3</v>
      </c>
      <c r="G43" s="823">
        <f>'4-Materialen gebouwen'!L458/4</f>
        <v>0.75</v>
      </c>
      <c r="H43" s="818"/>
      <c r="I43" s="818">
        <v>4.2</v>
      </c>
      <c r="J43" s="818"/>
      <c r="K43" s="818"/>
      <c r="L43" s="818"/>
      <c r="M43" s="818"/>
      <c r="N43" s="818"/>
      <c r="O43" s="818"/>
      <c r="P43" s="818"/>
      <c r="Q43" s="818"/>
      <c r="R43" s="818"/>
    </row>
    <row r="44" spans="1:18" s="840" customFormat="1" ht="30">
      <c r="A44" s="817"/>
      <c r="B44" s="818" t="s">
        <v>459</v>
      </c>
      <c r="C44" s="821" t="s">
        <v>497</v>
      </c>
      <c r="D44" s="818" t="s">
        <v>489</v>
      </c>
      <c r="E44" s="821" t="s">
        <v>497</v>
      </c>
      <c r="F44" s="822">
        <f>IF(ISERR(G44),"Niveau non défini",IF(G44&lt;25%,0,IF(G44&lt;50%,1,IF(G44&lt;75%,2,IF(G44&lt;100%,3,4)))))</f>
        <v>0</v>
      </c>
      <c r="G44" s="824">
        <f>'5-Tool Mobiliteit A'!S130</f>
        <v>0</v>
      </c>
      <c r="H44" s="818"/>
      <c r="I44" s="818">
        <v>5.0999999999999996</v>
      </c>
      <c r="J44" s="818"/>
      <c r="K44" s="818"/>
      <c r="L44" s="818"/>
      <c r="M44" s="818"/>
      <c r="N44" s="818"/>
      <c r="O44" s="818"/>
      <c r="P44" s="818"/>
      <c r="Q44" s="818"/>
      <c r="R44" s="818"/>
    </row>
    <row r="45" spans="1:18" s="840" customFormat="1" ht="30">
      <c r="A45" s="817"/>
      <c r="B45" s="818" t="s">
        <v>459</v>
      </c>
      <c r="C45" s="821" t="s">
        <v>497</v>
      </c>
      <c r="D45" s="818" t="s">
        <v>490</v>
      </c>
      <c r="E45" s="821" t="s">
        <v>497</v>
      </c>
      <c r="F45" s="822">
        <f>IF(ISERR(G45),"Niveau non défini",IF(G45&lt;1,0,IF(G45&lt;2,1,IF(G45&lt;3,2,IF(G45&lt;3,3,4)))))</f>
        <v>0</v>
      </c>
      <c r="G45" s="823">
        <f>'5-Tool mobiliteit C'!D52</f>
        <v>0</v>
      </c>
      <c r="H45" s="818"/>
      <c r="I45" s="818">
        <v>5.2</v>
      </c>
      <c r="J45" s="818"/>
      <c r="K45" s="818"/>
      <c r="L45" s="818"/>
      <c r="M45" s="818"/>
      <c r="N45" s="818"/>
      <c r="O45" s="818"/>
      <c r="P45" s="818"/>
      <c r="Q45" s="818"/>
      <c r="R45" s="818"/>
    </row>
    <row r="46" spans="1:18" s="840" customFormat="1" ht="30">
      <c r="A46" s="817"/>
      <c r="B46" s="818" t="s">
        <v>494</v>
      </c>
      <c r="C46" s="821" t="s">
        <v>497</v>
      </c>
      <c r="D46" s="818" t="s">
        <v>496</v>
      </c>
      <c r="E46" s="821" t="s">
        <v>497</v>
      </c>
      <c r="F46" s="822" t="str">
        <f t="shared" ref="F46:F49" si="0">IF(ISERR(G46),"Niveau non défini",IF(G46&lt;25%,0,IF(G46&lt;50%,1,IF(G46&lt;75%,2,IF(G46&lt;100%,3,4)))))</f>
        <v>Niveau non défini</v>
      </c>
      <c r="G46" s="823" t="e">
        <f>'6-Tool biodiversiteit'!F92/4</f>
        <v>#DIV/0!</v>
      </c>
      <c r="H46" s="818"/>
      <c r="I46" s="818">
        <v>6</v>
      </c>
      <c r="J46" s="818"/>
      <c r="K46" s="818"/>
      <c r="L46" s="818"/>
      <c r="M46" s="818"/>
      <c r="N46" s="818"/>
      <c r="O46" s="818"/>
      <c r="P46" s="818"/>
      <c r="Q46" s="818"/>
      <c r="R46" s="818"/>
    </row>
    <row r="47" spans="1:18" s="840" customFormat="1" ht="30">
      <c r="A47" s="817"/>
      <c r="B47" s="818" t="s">
        <v>487</v>
      </c>
      <c r="C47" s="821" t="s">
        <v>497</v>
      </c>
      <c r="D47" s="818" t="s">
        <v>489</v>
      </c>
      <c r="E47" s="821" t="s">
        <v>497</v>
      </c>
      <c r="F47" s="822" t="str">
        <f t="shared" si="0"/>
        <v>Niveau non défini</v>
      </c>
      <c r="G47" s="824" t="e">
        <f>'7-tool energie'!C54</f>
        <v>#REF!</v>
      </c>
      <c r="H47" s="818"/>
      <c r="I47" s="818">
        <v>7</v>
      </c>
      <c r="J47" s="818"/>
      <c r="K47" s="818"/>
      <c r="L47" s="818"/>
      <c r="M47" s="818"/>
      <c r="N47" s="818"/>
      <c r="O47" s="818"/>
      <c r="P47" s="818"/>
      <c r="Q47" s="818"/>
      <c r="R47" s="818"/>
    </row>
    <row r="48" spans="1:18" s="840" customFormat="1" ht="30">
      <c r="A48" s="817"/>
      <c r="B48" s="818" t="s">
        <v>492</v>
      </c>
      <c r="C48" s="821" t="s">
        <v>497</v>
      </c>
      <c r="D48" s="818" t="s">
        <v>496</v>
      </c>
      <c r="E48" s="821" t="s">
        <v>497</v>
      </c>
      <c r="F48" s="822" t="str">
        <f t="shared" si="0"/>
        <v>Niveau non défini</v>
      </c>
      <c r="G48" s="823" t="e">
        <f>'8-Tool water'!C80/4</f>
        <v>#VALUE!</v>
      </c>
      <c r="H48" s="818"/>
      <c r="I48" s="818">
        <v>8</v>
      </c>
      <c r="J48" s="818"/>
      <c r="K48" s="818"/>
      <c r="L48" s="818"/>
      <c r="M48" s="818"/>
      <c r="N48" s="818"/>
      <c r="O48" s="818"/>
      <c r="P48" s="818"/>
      <c r="Q48" s="818"/>
      <c r="R48" s="818"/>
    </row>
    <row r="49" spans="1:18" s="840" customFormat="1" ht="30">
      <c r="A49" s="817"/>
      <c r="B49" s="818" t="s">
        <v>493</v>
      </c>
      <c r="C49" s="821" t="s">
        <v>497</v>
      </c>
      <c r="D49" s="818" t="s">
        <v>489</v>
      </c>
      <c r="E49" s="821" t="s">
        <v>497</v>
      </c>
      <c r="F49" s="822" t="str">
        <f t="shared" si="0"/>
        <v>Niveau non défini</v>
      </c>
      <c r="G49" s="824" t="e">
        <f>'9-Tool afval'!C31</f>
        <v>#DIV/0!</v>
      </c>
      <c r="H49" s="818"/>
      <c r="I49" s="818">
        <v>9</v>
      </c>
      <c r="J49" s="818"/>
      <c r="K49" s="818"/>
      <c r="L49" s="818"/>
      <c r="M49" s="818"/>
      <c r="N49" s="818"/>
      <c r="O49" s="818"/>
      <c r="P49" s="818"/>
      <c r="Q49" s="818"/>
      <c r="R49" s="818"/>
    </row>
    <row r="50" spans="1:18" s="840" customFormat="1">
      <c r="A50" s="817"/>
      <c r="B50" s="818"/>
      <c r="C50" s="818"/>
      <c r="D50" s="818"/>
      <c r="E50" s="818"/>
      <c r="F50" s="818"/>
      <c r="G50" s="818"/>
      <c r="H50" s="818"/>
      <c r="I50" s="818"/>
      <c r="J50" s="818"/>
      <c r="K50" s="818"/>
      <c r="L50" s="818"/>
      <c r="M50" s="818"/>
      <c r="N50" s="818"/>
      <c r="O50" s="818"/>
      <c r="P50" s="818"/>
      <c r="Q50" s="818"/>
      <c r="R50" s="818"/>
    </row>
    <row r="51" spans="1:18" s="840" customFormat="1">
      <c r="A51" s="817"/>
      <c r="B51" s="818"/>
      <c r="C51" s="818"/>
      <c r="D51" s="818"/>
      <c r="E51" s="818"/>
      <c r="F51" s="818"/>
      <c r="G51" s="818"/>
      <c r="H51" s="818"/>
      <c r="I51" s="818"/>
      <c r="J51" s="818">
        <f>I42</f>
        <v>4.0999999999999996</v>
      </c>
      <c r="K51" s="818">
        <f>I43</f>
        <v>4.2</v>
      </c>
      <c r="L51" s="818">
        <f>I44</f>
        <v>5.0999999999999996</v>
      </c>
      <c r="M51" s="818">
        <f>I45</f>
        <v>5.2</v>
      </c>
      <c r="N51" s="818">
        <f>I46</f>
        <v>6</v>
      </c>
      <c r="O51" s="818">
        <f>I47</f>
        <v>7</v>
      </c>
      <c r="P51" s="818">
        <f>I48</f>
        <v>8</v>
      </c>
      <c r="Q51" s="818">
        <f>I49</f>
        <v>9</v>
      </c>
      <c r="R51" s="818"/>
    </row>
    <row r="52" spans="1:18" s="840" customFormat="1">
      <c r="A52" s="817"/>
      <c r="B52" s="818"/>
      <c r="C52" s="818"/>
      <c r="D52" s="818"/>
      <c r="E52" s="818"/>
      <c r="F52" s="818">
        <v>0</v>
      </c>
      <c r="G52" s="818">
        <v>0</v>
      </c>
      <c r="H52" s="818"/>
      <c r="I52" s="818">
        <v>0</v>
      </c>
      <c r="J52" s="825" t="e">
        <f>G42</f>
        <v>#VALUE!</v>
      </c>
      <c r="K52" s="825">
        <f>G43</f>
        <v>0.75</v>
      </c>
      <c r="L52" s="825">
        <f>G44</f>
        <v>0</v>
      </c>
      <c r="M52" s="825">
        <f>G45/4</f>
        <v>0</v>
      </c>
      <c r="N52" s="825" t="e">
        <f>G46</f>
        <v>#DIV/0!</v>
      </c>
      <c r="O52" s="825" t="e">
        <f>G47-0.5%</f>
        <v>#REF!</v>
      </c>
      <c r="P52" s="825" t="e">
        <f>G48</f>
        <v>#VALUE!</v>
      </c>
      <c r="Q52" s="825" t="e">
        <f>G49</f>
        <v>#DIV/0!</v>
      </c>
      <c r="R52" s="818"/>
    </row>
    <row r="53" spans="1:18" s="840" customFormat="1">
      <c r="A53" s="817"/>
      <c r="B53" s="818"/>
      <c r="C53" s="818"/>
      <c r="D53" s="818"/>
      <c r="E53" s="818"/>
      <c r="F53" s="818">
        <v>1</v>
      </c>
      <c r="G53" s="818">
        <v>25</v>
      </c>
      <c r="H53" s="818"/>
      <c r="I53" s="818">
        <v>1</v>
      </c>
      <c r="J53" s="825">
        <v>0.01</v>
      </c>
      <c r="K53" s="825">
        <v>0.01</v>
      </c>
      <c r="L53" s="825">
        <v>0.01</v>
      </c>
      <c r="M53" s="825">
        <v>0.01</v>
      </c>
      <c r="N53" s="825">
        <v>0.01</v>
      </c>
      <c r="O53" s="825">
        <v>0.01</v>
      </c>
      <c r="P53" s="825">
        <v>0.01</v>
      </c>
      <c r="Q53" s="825">
        <v>0.01</v>
      </c>
      <c r="R53" s="818"/>
    </row>
    <row r="54" spans="1:18" s="840" customFormat="1">
      <c r="A54" s="817"/>
      <c r="B54" s="818"/>
      <c r="C54" s="818"/>
      <c r="D54" s="818"/>
      <c r="E54" s="818"/>
      <c r="F54" s="818">
        <v>2</v>
      </c>
      <c r="G54" s="818">
        <v>25</v>
      </c>
      <c r="H54" s="818"/>
      <c r="I54" s="818">
        <v>2</v>
      </c>
      <c r="J54" s="825" t="e">
        <f t="shared" ref="J54" si="1">100%-J53-J52</f>
        <v>#VALUE!</v>
      </c>
      <c r="K54" s="825">
        <f t="shared" ref="K54" si="2">100%-K53-K52</f>
        <v>0.24</v>
      </c>
      <c r="L54" s="825">
        <f t="shared" ref="L54:Q54" si="3">100%-L53-L52</f>
        <v>0.99</v>
      </c>
      <c r="M54" s="825">
        <f t="shared" si="3"/>
        <v>0.99</v>
      </c>
      <c r="N54" s="825" t="e">
        <f t="shared" si="3"/>
        <v>#DIV/0!</v>
      </c>
      <c r="O54" s="825" t="e">
        <f t="shared" si="3"/>
        <v>#REF!</v>
      </c>
      <c r="P54" s="825" t="e">
        <f t="shared" si="3"/>
        <v>#VALUE!</v>
      </c>
      <c r="Q54" s="825" t="e">
        <f t="shared" si="3"/>
        <v>#DIV/0!</v>
      </c>
      <c r="R54" s="818"/>
    </row>
    <row r="55" spans="1:18" s="840" customFormat="1">
      <c r="A55" s="817"/>
      <c r="B55" s="818"/>
      <c r="C55" s="818"/>
      <c r="D55" s="818"/>
      <c r="E55" s="818"/>
      <c r="F55" s="818">
        <v>3</v>
      </c>
      <c r="G55" s="818">
        <v>25</v>
      </c>
      <c r="H55" s="818"/>
      <c r="I55" s="818">
        <v>3</v>
      </c>
      <c r="J55" s="825">
        <v>0</v>
      </c>
      <c r="K55" s="825">
        <v>0</v>
      </c>
      <c r="L55" s="825">
        <v>0</v>
      </c>
      <c r="M55" s="825">
        <v>0</v>
      </c>
      <c r="N55" s="825">
        <v>0</v>
      </c>
      <c r="O55" s="825">
        <v>0</v>
      </c>
      <c r="P55" s="825">
        <v>0</v>
      </c>
      <c r="Q55" s="825">
        <v>0</v>
      </c>
      <c r="R55" s="818"/>
    </row>
    <row r="56" spans="1:18" s="840" customFormat="1">
      <c r="A56" s="817"/>
      <c r="B56" s="818"/>
      <c r="C56" s="818"/>
      <c r="D56" s="818"/>
      <c r="E56" s="818"/>
      <c r="F56" s="818">
        <v>4</v>
      </c>
      <c r="G56" s="818">
        <v>25</v>
      </c>
      <c r="H56" s="818"/>
      <c r="I56" s="818">
        <v>4</v>
      </c>
      <c r="J56" s="825">
        <v>0</v>
      </c>
      <c r="K56" s="825">
        <v>0</v>
      </c>
      <c r="L56" s="825">
        <v>0</v>
      </c>
      <c r="M56" s="825">
        <v>0</v>
      </c>
      <c r="N56" s="825">
        <v>0</v>
      </c>
      <c r="O56" s="825">
        <v>0</v>
      </c>
      <c r="P56" s="825">
        <v>0</v>
      </c>
      <c r="Q56" s="825">
        <v>0</v>
      </c>
      <c r="R56" s="818"/>
    </row>
    <row r="57" spans="1:18" s="840" customFormat="1">
      <c r="A57" s="817"/>
      <c r="B57" s="818"/>
      <c r="C57" s="818"/>
      <c r="D57" s="818"/>
      <c r="E57" s="818"/>
      <c r="F57" s="818">
        <v>5</v>
      </c>
      <c r="G57" s="818">
        <v>100</v>
      </c>
      <c r="H57" s="818"/>
      <c r="I57" s="818">
        <v>5</v>
      </c>
      <c r="J57" s="825">
        <v>1</v>
      </c>
      <c r="K57" s="825">
        <v>1</v>
      </c>
      <c r="L57" s="825">
        <v>1</v>
      </c>
      <c r="M57" s="825">
        <v>1</v>
      </c>
      <c r="N57" s="825">
        <v>1</v>
      </c>
      <c r="O57" s="825">
        <v>1</v>
      </c>
      <c r="P57" s="825">
        <v>1</v>
      </c>
      <c r="Q57" s="825">
        <v>1</v>
      </c>
      <c r="R57" s="818"/>
    </row>
    <row r="58" spans="1:18" s="840" customFormat="1">
      <c r="A58" s="817"/>
      <c r="B58" s="818"/>
      <c r="C58" s="818"/>
      <c r="D58" s="818"/>
      <c r="E58" s="818"/>
      <c r="F58" s="818"/>
      <c r="G58" s="818"/>
      <c r="H58" s="818"/>
      <c r="I58" s="818"/>
      <c r="J58" s="825"/>
      <c r="K58" s="825"/>
      <c r="L58" s="825"/>
      <c r="M58" s="825"/>
      <c r="N58" s="825"/>
      <c r="O58" s="825"/>
      <c r="P58" s="825"/>
      <c r="Q58" s="818"/>
      <c r="R58" s="818"/>
    </row>
    <row r="59" spans="1:18" s="840" customFormat="1"/>
  </sheetData>
  <pageMargins left="0.70866141732283472" right="0.70866141732283472" top="0.74803149606299213" bottom="0.74803149606299213" header="0.31496062992125984" footer="0.31496062992125984"/>
  <pageSetup paperSize="9" scale="57" orientation="landscape"/>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enableFormatConditionsCalculation="0"/>
  <dimension ref="A1:BJ465"/>
  <sheetViews>
    <sheetView showGridLines="0" topLeftCell="O126" zoomScale="70" zoomScaleNormal="70" zoomScaleSheetLayoutView="25" zoomScalePageLayoutView="85" workbookViewId="0">
      <selection activeCell="BM134" sqref="BM134"/>
    </sheetView>
  </sheetViews>
  <sheetFormatPr defaultColWidth="9.140625" defaultRowHeight="15"/>
  <cols>
    <col min="1" max="1" width="2" style="474" customWidth="1"/>
    <col min="2" max="2" width="26.42578125" style="474" hidden="1" customWidth="1"/>
    <col min="3" max="3" width="2.140625" style="474" customWidth="1"/>
    <col min="4" max="4" width="2.42578125" style="474" customWidth="1"/>
    <col min="5" max="5" width="7.85546875" style="474" customWidth="1"/>
    <col min="6" max="6" width="7.42578125" style="474" customWidth="1"/>
    <col min="7" max="7" width="8" style="474" customWidth="1"/>
    <col min="8" max="8" width="7.42578125" style="474" customWidth="1"/>
    <col min="9" max="10" width="8" style="474" customWidth="1"/>
    <col min="11" max="11" width="8.42578125" style="476" customWidth="1"/>
    <col min="12" max="12" width="71.42578125" style="474" customWidth="1"/>
    <col min="13" max="13" width="32.42578125" style="474" customWidth="1"/>
    <col min="14" max="14" width="36" style="474" customWidth="1"/>
    <col min="15" max="15" width="32.140625" style="474" customWidth="1"/>
    <col min="16" max="16" width="39" style="474" customWidth="1"/>
    <col min="17" max="17" width="2.28515625" style="474" customWidth="1"/>
    <col min="18" max="18" width="11.7109375" style="475" customWidth="1"/>
    <col min="19" max="19" width="11.42578125" style="474" customWidth="1"/>
    <col min="20" max="20" width="14.85546875" style="475" bestFit="1" customWidth="1"/>
    <col min="21" max="21" width="13.28515625" style="475" customWidth="1"/>
    <col min="22" max="22" width="14.85546875" style="474" bestFit="1" customWidth="1"/>
    <col min="23" max="23" width="10" style="474" customWidth="1"/>
    <col min="24" max="26" width="9.140625" style="474" customWidth="1"/>
    <col min="27" max="27" width="9.7109375" style="474" customWidth="1"/>
    <col min="28" max="28" width="9.140625" style="474" customWidth="1"/>
    <col min="29" max="29" width="3" style="474" customWidth="1"/>
    <col min="30" max="30" width="26.42578125" style="474" hidden="1" customWidth="1"/>
    <col min="31" max="31" width="13.85546875" style="474" hidden="1" customWidth="1"/>
    <col min="32" max="33" width="12.7109375" style="474" hidden="1" customWidth="1"/>
    <col min="34" max="34" width="13.85546875" style="474" hidden="1" customWidth="1"/>
    <col min="35" max="36" width="9.140625" style="474" hidden="1" customWidth="1"/>
    <col min="37" max="37" width="13.85546875" style="474" hidden="1" customWidth="1"/>
    <col min="38" max="38" width="25.42578125" style="474" hidden="1" customWidth="1"/>
    <col min="39" max="39" width="5.85546875" style="474" hidden="1" customWidth="1"/>
    <col min="40" max="40" width="46.42578125" style="474" hidden="1" customWidth="1"/>
    <col min="41" max="41" width="10.85546875" style="474" hidden="1" customWidth="1"/>
    <col min="42" max="44" width="9.140625" style="474" hidden="1" customWidth="1"/>
    <col min="45" max="45" width="11.7109375" style="474" hidden="1" customWidth="1"/>
    <col min="46" max="62" width="9.140625" style="474" hidden="1" customWidth="1"/>
    <col min="63" max="65" width="9.140625" style="474" customWidth="1"/>
    <col min="66" max="16384" width="9.140625" style="474"/>
  </cols>
  <sheetData>
    <row r="1" spans="1:60" ht="15.75" thickBot="1">
      <c r="A1" s="1072"/>
      <c r="B1" s="1072"/>
      <c r="C1" s="1072"/>
      <c r="D1" s="1072"/>
      <c r="E1" s="1072"/>
      <c r="F1" s="1072"/>
      <c r="G1" s="1072"/>
      <c r="H1" s="1072"/>
      <c r="I1" s="1072"/>
      <c r="J1" s="1072"/>
      <c r="K1" s="1073"/>
      <c r="L1" s="1072"/>
      <c r="M1" s="1072"/>
      <c r="N1" s="1072"/>
      <c r="O1" s="1072"/>
      <c r="P1" s="1072"/>
      <c r="Q1" s="1072"/>
      <c r="R1" s="1074"/>
      <c r="S1" s="1072"/>
      <c r="T1" s="1074"/>
      <c r="U1" s="1074"/>
      <c r="V1" s="1072"/>
      <c r="W1" s="1072"/>
      <c r="X1" s="1072"/>
      <c r="Y1" s="1072"/>
      <c r="Z1" s="1072"/>
      <c r="AA1" s="1072"/>
      <c r="AB1" s="1072"/>
      <c r="AC1" s="1072"/>
    </row>
    <row r="2" spans="1:60" ht="15.75" hidden="1" thickBot="1">
      <c r="D2" s="492"/>
      <c r="E2" s="491"/>
      <c r="F2" s="491"/>
      <c r="G2" s="491"/>
      <c r="H2" s="491"/>
      <c r="I2" s="491"/>
      <c r="J2" s="491"/>
      <c r="K2" s="617"/>
      <c r="L2" s="491"/>
      <c r="M2" s="491"/>
      <c r="N2" s="491"/>
      <c r="O2" s="491"/>
      <c r="P2" s="491"/>
      <c r="Q2" s="491"/>
      <c r="R2" s="548"/>
      <c r="S2" s="491"/>
      <c r="T2" s="548"/>
      <c r="U2" s="548"/>
      <c r="V2" s="491"/>
      <c r="W2" s="491"/>
      <c r="X2" s="491"/>
      <c r="Y2" s="491"/>
      <c r="Z2" s="491"/>
      <c r="AA2" s="491"/>
      <c r="AB2" s="490"/>
    </row>
    <row r="3" spans="1:60" ht="15.75" hidden="1" thickBot="1">
      <c r="D3" s="488"/>
      <c r="E3" s="1370" t="s">
        <v>1499</v>
      </c>
      <c r="F3" s="1371"/>
      <c r="G3" s="1372"/>
      <c r="H3" s="642"/>
      <c r="I3" s="1370" t="s">
        <v>841</v>
      </c>
      <c r="J3" s="1371"/>
      <c r="K3" s="1372"/>
      <c r="L3" s="497"/>
      <c r="M3" s="497"/>
      <c r="N3" s="497"/>
      <c r="O3" s="497"/>
      <c r="P3" s="497"/>
      <c r="Q3" s="497"/>
      <c r="R3" s="496"/>
      <c r="S3" s="497"/>
      <c r="T3" s="496"/>
      <c r="U3" s="496"/>
      <c r="V3" s="497"/>
      <c r="W3" s="497"/>
      <c r="X3" s="497"/>
      <c r="Y3" s="497"/>
      <c r="Z3" s="497"/>
      <c r="AA3" s="497"/>
      <c r="AB3" s="485"/>
    </row>
    <row r="4" spans="1:60" ht="15.75" hidden="1" thickBot="1">
      <c r="D4" s="488"/>
      <c r="E4" s="497"/>
      <c r="F4" s="497"/>
      <c r="G4" s="497"/>
      <c r="H4" s="497"/>
      <c r="I4" s="497"/>
      <c r="J4" s="497"/>
      <c r="K4" s="504"/>
      <c r="L4" s="497"/>
      <c r="M4" s="497"/>
      <c r="N4" s="497"/>
      <c r="O4" s="497"/>
      <c r="P4" s="497"/>
      <c r="Q4" s="497"/>
      <c r="R4" s="496"/>
      <c r="S4" s="497"/>
      <c r="T4" s="496"/>
      <c r="U4" s="496"/>
      <c r="V4" s="497"/>
      <c r="W4" s="497"/>
      <c r="X4" s="497"/>
      <c r="Y4" s="497"/>
      <c r="Z4" s="497"/>
      <c r="AA4" s="497"/>
      <c r="AB4" s="485"/>
    </row>
    <row r="5" spans="1:60" hidden="1">
      <c r="D5" s="488"/>
      <c r="E5" s="1373" t="s">
        <v>1121</v>
      </c>
      <c r="F5" s="760"/>
      <c r="G5" s="1373" t="s">
        <v>1122</v>
      </c>
      <c r="H5" s="759"/>
      <c r="I5" s="1373" t="s">
        <v>1121</v>
      </c>
      <c r="J5" s="758"/>
      <c r="K5" s="1373" t="s">
        <v>1122</v>
      </c>
      <c r="L5" s="497"/>
      <c r="M5" s="497"/>
      <c r="N5" s="497"/>
      <c r="O5" s="497"/>
      <c r="P5" s="497"/>
      <c r="Q5" s="497"/>
      <c r="R5" s="496"/>
      <c r="S5" s="497"/>
      <c r="T5" s="496"/>
      <c r="U5" s="496"/>
      <c r="V5" s="497"/>
      <c r="W5" s="497"/>
      <c r="X5" s="497"/>
      <c r="Y5" s="497"/>
      <c r="Z5" s="497"/>
      <c r="AA5" s="497"/>
      <c r="AB5" s="485"/>
    </row>
    <row r="6" spans="1:60" ht="15.75" hidden="1" thickBot="1">
      <c r="D6" s="488"/>
      <c r="E6" s="1374"/>
      <c r="F6" s="760"/>
      <c r="G6" s="1374"/>
      <c r="H6" s="759"/>
      <c r="I6" s="1374"/>
      <c r="J6" s="758"/>
      <c r="K6" s="1374"/>
      <c r="L6" s="497"/>
      <c r="M6" s="497"/>
      <c r="N6" s="497"/>
      <c r="O6" s="497"/>
      <c r="P6" s="497"/>
      <c r="Q6" s="497"/>
      <c r="R6" s="496"/>
      <c r="S6" s="497"/>
      <c r="T6" s="496"/>
      <c r="U6" s="496"/>
      <c r="V6" s="497"/>
      <c r="W6" s="497"/>
      <c r="X6" s="497"/>
      <c r="Y6" s="497"/>
      <c r="Z6" s="497"/>
      <c r="AA6" s="497"/>
      <c r="AB6" s="485"/>
    </row>
    <row r="7" spans="1:60" ht="15.75" hidden="1" thickBot="1">
      <c r="D7" s="517"/>
      <c r="E7" s="508"/>
      <c r="F7" s="508"/>
      <c r="G7" s="508"/>
      <c r="H7" s="508"/>
      <c r="I7" s="508"/>
      <c r="J7" s="508"/>
      <c r="K7" s="516"/>
      <c r="L7" s="508"/>
      <c r="M7" s="508"/>
      <c r="N7" s="508"/>
      <c r="O7" s="508"/>
      <c r="P7" s="508"/>
      <c r="Q7" s="508"/>
      <c r="R7" s="515"/>
      <c r="S7" s="508"/>
      <c r="T7" s="515"/>
      <c r="U7" s="515"/>
      <c r="V7" s="508"/>
      <c r="W7" s="508"/>
      <c r="X7" s="508"/>
      <c r="Y7" s="508"/>
      <c r="Z7" s="508"/>
      <c r="AA7" s="508"/>
      <c r="AB7" s="514"/>
    </row>
    <row r="8" spans="1:60" ht="15.75" hidden="1" thickBot="1"/>
    <row r="9" spans="1:60" ht="15.75" thickBot="1">
      <c r="A9" s="1072"/>
      <c r="B9" s="1072"/>
      <c r="C9" s="1072"/>
      <c r="D9" s="492"/>
      <c r="E9" s="491"/>
      <c r="F9" s="491"/>
      <c r="G9" s="491"/>
      <c r="H9" s="491"/>
      <c r="I9" s="491"/>
      <c r="J9" s="491"/>
      <c r="K9" s="617"/>
      <c r="L9" s="491"/>
      <c r="M9" s="491"/>
      <c r="N9" s="491"/>
      <c r="O9" s="491"/>
      <c r="P9" s="491"/>
      <c r="Q9" s="491"/>
      <c r="R9" s="548"/>
      <c r="S9" s="491"/>
      <c r="T9" s="548"/>
      <c r="U9" s="548"/>
      <c r="V9" s="491"/>
      <c r="W9" s="491"/>
      <c r="X9" s="491"/>
      <c r="Y9" s="491"/>
      <c r="Z9" s="491"/>
      <c r="AA9" s="491"/>
      <c r="AB9" s="490"/>
      <c r="AC9" s="1072"/>
    </row>
    <row r="10" spans="1:60">
      <c r="A10" s="1072"/>
      <c r="B10" s="1072"/>
      <c r="C10" s="1072"/>
      <c r="D10" s="488"/>
      <c r="E10" s="1427" t="s">
        <v>1118</v>
      </c>
      <c r="F10" s="1419"/>
      <c r="G10" s="1419"/>
      <c r="H10" s="1419"/>
      <c r="I10" s="1419"/>
      <c r="J10" s="1419"/>
      <c r="K10" s="1419"/>
      <c r="L10" s="1419"/>
      <c r="M10" s="1419" t="s">
        <v>1119</v>
      </c>
      <c r="N10" s="1419"/>
      <c r="O10" s="1419"/>
      <c r="P10" s="1420"/>
      <c r="Q10" s="497"/>
      <c r="R10" s="1162" t="s">
        <v>1469</v>
      </c>
      <c r="S10" s="1163"/>
      <c r="T10" s="1163"/>
      <c r="U10" s="1163"/>
      <c r="V10" s="1163"/>
      <c r="W10" s="1163"/>
      <c r="X10" s="1163"/>
      <c r="Y10" s="1163"/>
      <c r="Z10" s="1163"/>
      <c r="AA10" s="1164"/>
      <c r="AB10" s="485"/>
      <c r="AC10" s="1072"/>
      <c r="AO10" s="1180" t="s">
        <v>840</v>
      </c>
      <c r="AP10" s="1181"/>
      <c r="AQ10" s="1181"/>
      <c r="AR10" s="1181"/>
      <c r="AS10" s="1181"/>
      <c r="AT10" s="1181"/>
      <c r="AU10" s="1181"/>
      <c r="AV10" s="1181"/>
      <c r="AW10" s="1181"/>
      <c r="AX10" s="1181"/>
      <c r="AY10" s="1181"/>
      <c r="AZ10" s="1181"/>
      <c r="BA10" s="1181"/>
      <c r="BB10" s="1181"/>
      <c r="BC10" s="1181"/>
      <c r="BD10" s="1181"/>
      <c r="BE10" s="1181"/>
      <c r="BF10" s="1181"/>
      <c r="BG10" s="1181"/>
      <c r="BH10" s="1182"/>
    </row>
    <row r="11" spans="1:60" ht="15.75" thickBot="1">
      <c r="A11" s="1072"/>
      <c r="B11" s="1072"/>
      <c r="C11" s="1072"/>
      <c r="D11" s="488"/>
      <c r="E11" s="1432"/>
      <c r="F11" s="1421"/>
      <c r="G11" s="1421"/>
      <c r="H11" s="1421"/>
      <c r="I11" s="1421"/>
      <c r="J11" s="1421"/>
      <c r="K11" s="1421"/>
      <c r="L11" s="1421"/>
      <c r="M11" s="1421"/>
      <c r="N11" s="1421"/>
      <c r="O11" s="1421"/>
      <c r="P11" s="1422"/>
      <c r="Q11" s="497"/>
      <c r="R11" s="1165"/>
      <c r="S11" s="1166"/>
      <c r="T11" s="1166"/>
      <c r="U11" s="1166"/>
      <c r="V11" s="1166"/>
      <c r="W11" s="1166"/>
      <c r="X11" s="1166"/>
      <c r="Y11" s="1166"/>
      <c r="Z11" s="1166"/>
      <c r="AA11" s="1167"/>
      <c r="AB11" s="485"/>
      <c r="AC11" s="1072"/>
      <c r="AO11" s="1183"/>
      <c r="AP11" s="1184"/>
      <c r="AQ11" s="1184"/>
      <c r="AR11" s="1184"/>
      <c r="AS11" s="1184"/>
      <c r="AT11" s="1184"/>
      <c r="AU11" s="1184"/>
      <c r="AV11" s="1184"/>
      <c r="AW11" s="1184"/>
      <c r="AX11" s="1184"/>
      <c r="AY11" s="1184"/>
      <c r="AZ11" s="1184"/>
      <c r="BA11" s="1184"/>
      <c r="BB11" s="1184"/>
      <c r="BC11" s="1184"/>
      <c r="BD11" s="1184"/>
      <c r="BE11" s="1184"/>
      <c r="BF11" s="1184"/>
      <c r="BG11" s="1184"/>
      <c r="BH11" s="1185"/>
    </row>
    <row r="12" spans="1:60" ht="15.75" thickBot="1">
      <c r="A12" s="1072"/>
      <c r="B12" s="1072"/>
      <c r="C12" s="1072"/>
      <c r="D12" s="488"/>
      <c r="E12" s="497"/>
      <c r="F12" s="497"/>
      <c r="G12" s="497"/>
      <c r="H12" s="497"/>
      <c r="I12" s="497"/>
      <c r="J12" s="497"/>
      <c r="K12" s="504"/>
      <c r="L12" s="497"/>
      <c r="M12" s="497"/>
      <c r="N12" s="497"/>
      <c r="O12" s="497"/>
      <c r="P12" s="491"/>
      <c r="Q12" s="497"/>
      <c r="R12" s="1168" t="str">
        <f>L419</f>
        <v>/</v>
      </c>
      <c r="S12" s="1169"/>
      <c r="T12" s="1169"/>
      <c r="U12" s="1169"/>
      <c r="V12" s="1169"/>
      <c r="W12" s="1169"/>
      <c r="X12" s="1169"/>
      <c r="Y12" s="1169"/>
      <c r="Z12" s="1169"/>
      <c r="AA12" s="1170"/>
      <c r="AB12" s="485"/>
      <c r="AC12" s="1072"/>
      <c r="AO12" s="757"/>
      <c r="AP12" s="754"/>
      <c r="AQ12" s="754"/>
      <c r="AR12" s="754"/>
      <c r="AS12" s="754"/>
      <c r="AT12" s="754"/>
      <c r="AU12" s="754"/>
      <c r="AV12" s="754"/>
      <c r="AW12" s="754"/>
      <c r="AX12" s="754"/>
      <c r="AY12" s="754"/>
      <c r="AZ12" s="754"/>
      <c r="BA12" s="754"/>
      <c r="BB12" s="754"/>
      <c r="BC12" s="754"/>
      <c r="BD12" s="754"/>
      <c r="BE12" s="754"/>
      <c r="BF12" s="754"/>
      <c r="BG12" s="754"/>
      <c r="BH12" s="753"/>
    </row>
    <row r="13" spans="1:60" ht="15.75" thickBot="1">
      <c r="A13" s="1072"/>
      <c r="B13" s="1072"/>
      <c r="C13" s="1072"/>
      <c r="D13" s="488"/>
      <c r="E13" s="1102"/>
      <c r="F13" s="1083"/>
      <c r="G13" s="1083"/>
      <c r="H13" s="1083"/>
      <c r="I13" s="1083"/>
      <c r="J13" s="1083"/>
      <c r="K13" s="1083"/>
      <c r="L13" s="1383" t="s">
        <v>839</v>
      </c>
      <c r="M13" s="1384"/>
      <c r="N13" s="1385"/>
      <c r="O13" s="1381" t="s">
        <v>387</v>
      </c>
      <c r="P13" s="1382"/>
      <c r="Q13" s="497"/>
      <c r="R13" s="1171"/>
      <c r="S13" s="1172"/>
      <c r="T13" s="1172"/>
      <c r="U13" s="1172"/>
      <c r="V13" s="1172"/>
      <c r="W13" s="1172"/>
      <c r="X13" s="1172"/>
      <c r="Y13" s="1172"/>
      <c r="Z13" s="1172"/>
      <c r="AA13" s="1173"/>
      <c r="AB13" s="485"/>
      <c r="AC13" s="1072"/>
      <c r="AO13" s="719"/>
      <c r="AP13" s="717"/>
      <c r="AQ13" s="717"/>
      <c r="AR13" s="717"/>
      <c r="AS13" s="717"/>
      <c r="AT13" s="717"/>
      <c r="AU13" s="717"/>
      <c r="AV13" s="717"/>
      <c r="AW13" s="717"/>
      <c r="AX13" s="717"/>
      <c r="AY13" s="717"/>
      <c r="AZ13" s="717"/>
      <c r="BA13" s="717"/>
      <c r="BB13" s="717"/>
      <c r="BC13" s="717"/>
      <c r="BD13" s="717"/>
      <c r="BE13" s="717"/>
      <c r="BF13" s="717"/>
      <c r="BG13" s="717"/>
      <c r="BH13" s="716"/>
    </row>
    <row r="14" spans="1:60" ht="15.75" thickBot="1">
      <c r="A14" s="1072"/>
      <c r="B14" s="1072"/>
      <c r="C14" s="1072"/>
      <c r="D14" s="488"/>
      <c r="E14" s="1349" t="s">
        <v>991</v>
      </c>
      <c r="F14" s="1426"/>
      <c r="G14" s="1426"/>
      <c r="H14" s="1426"/>
      <c r="I14" s="1426"/>
      <c r="J14" s="1426"/>
      <c r="K14" s="1350"/>
      <c r="L14" s="625" t="s">
        <v>1103</v>
      </c>
      <c r="M14" s="1313" t="s">
        <v>1108</v>
      </c>
      <c r="N14" s="1315"/>
      <c r="O14" s="1349" t="s">
        <v>1110</v>
      </c>
      <c r="P14" s="1350"/>
      <c r="Q14" s="497"/>
      <c r="R14" s="1171"/>
      <c r="S14" s="1172"/>
      <c r="T14" s="1172"/>
      <c r="U14" s="1172"/>
      <c r="V14" s="1172"/>
      <c r="W14" s="1172"/>
      <c r="X14" s="1172"/>
      <c r="Y14" s="1172"/>
      <c r="Z14" s="1172"/>
      <c r="AA14" s="1173"/>
      <c r="AB14" s="485"/>
      <c r="AC14" s="1072"/>
      <c r="AO14" s="719"/>
      <c r="AP14" s="717"/>
      <c r="AQ14" s="717"/>
      <c r="AR14" s="717"/>
      <c r="AS14" s="717"/>
      <c r="AT14" s="717"/>
      <c r="AU14" s="717"/>
      <c r="AV14" s="717"/>
      <c r="AW14" s="717"/>
      <c r="AX14" s="717"/>
      <c r="AY14" s="717"/>
      <c r="AZ14" s="717"/>
      <c r="BA14" s="717"/>
      <c r="BB14" s="717"/>
      <c r="BC14" s="717"/>
      <c r="BD14" s="717"/>
      <c r="BE14" s="717"/>
      <c r="BF14" s="717"/>
      <c r="BG14" s="717"/>
      <c r="BH14" s="716"/>
    </row>
    <row r="15" spans="1:60" ht="15.75" thickBot="1">
      <c r="A15" s="1072"/>
      <c r="B15" s="1072"/>
      <c r="C15" s="1072"/>
      <c r="D15" s="488"/>
      <c r="E15" s="1355" t="str">
        <f>"Plaats: "&amp;'2-Algemene gegevens'!C7</f>
        <v xml:space="preserve">Plaats: </v>
      </c>
      <c r="F15" s="1356"/>
      <c r="G15" s="1356"/>
      <c r="H15" s="1356"/>
      <c r="I15" s="1356"/>
      <c r="J15" s="1356"/>
      <c r="K15" s="1357"/>
      <c r="L15" s="1080">
        <v>100</v>
      </c>
      <c r="M15" s="1347">
        <v>100</v>
      </c>
      <c r="N15" s="1348"/>
      <c r="O15" s="1277">
        <f>M15+M17</f>
        <v>500</v>
      </c>
      <c r="P15" s="1278"/>
      <c r="Q15" s="497"/>
      <c r="R15" s="1171"/>
      <c r="S15" s="1172"/>
      <c r="T15" s="1172"/>
      <c r="U15" s="1172"/>
      <c r="V15" s="1172"/>
      <c r="W15" s="1172"/>
      <c r="X15" s="1172"/>
      <c r="Y15" s="1172"/>
      <c r="Z15" s="1172"/>
      <c r="AA15" s="1173"/>
      <c r="AB15" s="485"/>
      <c r="AC15" s="1072"/>
      <c r="AO15" s="734" t="s">
        <v>1472</v>
      </c>
      <c r="AP15" s="717"/>
      <c r="AQ15" s="717"/>
      <c r="AR15" s="717"/>
      <c r="AS15" s="717"/>
      <c r="AT15" s="717"/>
      <c r="AU15" s="717"/>
      <c r="AV15" s="717"/>
      <c r="AW15" s="717"/>
      <c r="AX15" s="717"/>
      <c r="AY15" s="717"/>
      <c r="AZ15" s="717"/>
      <c r="BA15" s="717"/>
      <c r="BB15" s="717"/>
      <c r="BC15" s="717"/>
      <c r="BD15" s="717"/>
      <c r="BE15" s="717"/>
      <c r="BF15" s="717"/>
      <c r="BG15" s="717"/>
      <c r="BH15" s="716"/>
    </row>
    <row r="16" spans="1:60" ht="15.75" thickBot="1">
      <c r="A16" s="1072"/>
      <c r="B16" s="1072"/>
      <c r="C16" s="1072"/>
      <c r="D16" s="488"/>
      <c r="E16" s="1423"/>
      <c r="F16" s="1424"/>
      <c r="G16" s="1424"/>
      <c r="H16" s="1424"/>
      <c r="I16" s="1424"/>
      <c r="J16" s="1424"/>
      <c r="K16" s="1425"/>
      <c r="L16" s="625" t="s">
        <v>1104</v>
      </c>
      <c r="M16" s="1345" t="s">
        <v>1115</v>
      </c>
      <c r="N16" s="1346"/>
      <c r="O16" s="1349" t="s">
        <v>1111</v>
      </c>
      <c r="P16" s="1350"/>
      <c r="Q16" s="497"/>
      <c r="R16" s="1174"/>
      <c r="S16" s="1175"/>
      <c r="T16" s="1175"/>
      <c r="U16" s="1175"/>
      <c r="V16" s="1175"/>
      <c r="W16" s="1175"/>
      <c r="X16" s="1175"/>
      <c r="Y16" s="1175"/>
      <c r="Z16" s="1175"/>
      <c r="AA16" s="1176"/>
      <c r="AB16" s="485"/>
      <c r="AC16" s="1072"/>
      <c r="AO16" s="734" t="s">
        <v>1473</v>
      </c>
      <c r="AP16" s="717"/>
      <c r="AQ16" s="717"/>
      <c r="AR16" s="717"/>
      <c r="AS16" s="717"/>
      <c r="AT16" s="733" t="s">
        <v>838</v>
      </c>
      <c r="AU16" s="717"/>
      <c r="AV16" s="717"/>
      <c r="AW16" s="717"/>
      <c r="AX16" s="733" t="s">
        <v>1486</v>
      </c>
      <c r="AY16" s="717"/>
      <c r="AZ16" s="733" t="s">
        <v>837</v>
      </c>
      <c r="BA16" s="717"/>
      <c r="BB16" s="717"/>
      <c r="BC16" s="717"/>
      <c r="BD16" s="717"/>
      <c r="BE16" s="717"/>
      <c r="BF16" s="717"/>
      <c r="BG16" s="717"/>
      <c r="BH16" s="716"/>
    </row>
    <row r="17" spans="1:60" ht="15.75" thickBot="1">
      <c r="A17" s="1072"/>
      <c r="B17" s="1072"/>
      <c r="C17" s="1072"/>
      <c r="D17" s="488"/>
      <c r="E17" s="1433" t="str">
        <f>"Adres : "&amp;'2-Algemene gegevens'!C9</f>
        <v xml:space="preserve">Adres : </v>
      </c>
      <c r="F17" s="1434"/>
      <c r="G17" s="1434"/>
      <c r="H17" s="1434"/>
      <c r="I17" s="1434"/>
      <c r="J17" s="1434"/>
      <c r="K17" s="1435"/>
      <c r="L17" s="1080">
        <v>50</v>
      </c>
      <c r="M17" s="1347">
        <v>400</v>
      </c>
      <c r="N17" s="1348"/>
      <c r="O17" s="1277">
        <f>L15+M15+M17-M19</f>
        <v>500</v>
      </c>
      <c r="P17" s="1278"/>
      <c r="Q17" s="497"/>
      <c r="R17" s="496"/>
      <c r="S17" s="497"/>
      <c r="T17" s="496"/>
      <c r="U17" s="496"/>
      <c r="V17" s="497"/>
      <c r="W17" s="497"/>
      <c r="X17" s="497"/>
      <c r="Y17" s="497"/>
      <c r="Z17" s="497"/>
      <c r="AA17" s="497"/>
      <c r="AB17" s="485"/>
      <c r="AC17" s="1072"/>
      <c r="AO17" s="757" t="s">
        <v>744</v>
      </c>
      <c r="AP17" s="756"/>
      <c r="AQ17" s="754"/>
      <c r="AR17" s="754"/>
      <c r="AS17" s="754"/>
      <c r="AT17" s="755" t="s">
        <v>744</v>
      </c>
      <c r="AU17" s="754"/>
      <c r="AV17" s="754"/>
      <c r="AW17" s="756"/>
      <c r="AX17" s="755" t="s">
        <v>744</v>
      </c>
      <c r="AY17" s="756"/>
      <c r="AZ17" s="755" t="s">
        <v>744</v>
      </c>
      <c r="BA17" s="754"/>
      <c r="BB17" s="753"/>
      <c r="BC17" s="717"/>
      <c r="BD17" s="717"/>
      <c r="BE17" s="717"/>
      <c r="BF17" s="717"/>
      <c r="BG17" s="717"/>
      <c r="BH17" s="716"/>
    </row>
    <row r="18" spans="1:60" ht="15.75" thickBot="1">
      <c r="A18" s="1072"/>
      <c r="B18" s="1072"/>
      <c r="C18" s="1072"/>
      <c r="D18" s="488"/>
      <c r="E18" s="1358"/>
      <c r="F18" s="1359"/>
      <c r="G18" s="1359"/>
      <c r="H18" s="1359"/>
      <c r="I18" s="1359"/>
      <c r="J18" s="1359"/>
      <c r="K18" s="1360"/>
      <c r="L18" s="625" t="s">
        <v>1105</v>
      </c>
      <c r="M18" s="1349" t="s">
        <v>1116</v>
      </c>
      <c r="N18" s="1350"/>
      <c r="O18" s="1349" t="s">
        <v>1112</v>
      </c>
      <c r="P18" s="1350"/>
      <c r="Q18" s="497"/>
      <c r="R18" s="496"/>
      <c r="S18" s="497"/>
      <c r="T18" s="496"/>
      <c r="U18" s="496"/>
      <c r="V18" s="497"/>
      <c r="W18" s="497"/>
      <c r="X18" s="497"/>
      <c r="Y18" s="497"/>
      <c r="Z18" s="497"/>
      <c r="AA18" s="497"/>
      <c r="AB18" s="485"/>
      <c r="AC18" s="1072"/>
      <c r="AO18" s="739" t="str">
        <f>IF(OR(R135="/",R135="neen")," ","Colonnes bois")</f>
        <v xml:space="preserve"> </v>
      </c>
      <c r="AP18" s="740"/>
      <c r="AQ18" s="717"/>
      <c r="AR18" s="717"/>
      <c r="AS18" s="717"/>
      <c r="AT18" s="738" t="s">
        <v>1985</v>
      </c>
      <c r="AU18" s="717"/>
      <c r="AV18" s="717"/>
      <c r="AW18" s="740"/>
      <c r="AX18" s="738" t="s">
        <v>1989</v>
      </c>
      <c r="AY18" s="740"/>
      <c r="AZ18" s="738" t="str">
        <f>IF(OR(R137="LOURD",R137="LÉGER"),"Bardage métallique"," ")</f>
        <v xml:space="preserve"> </v>
      </c>
      <c r="BA18" s="717"/>
      <c r="BB18" s="716"/>
      <c r="BC18" s="717"/>
      <c r="BD18" s="717"/>
      <c r="BE18" s="717"/>
      <c r="BF18" s="717"/>
      <c r="BG18" s="717"/>
      <c r="BH18" s="716"/>
    </row>
    <row r="19" spans="1:60" ht="15.75" thickBot="1">
      <c r="A19" s="1072"/>
      <c r="B19" s="1072"/>
      <c r="C19" s="1072"/>
      <c r="D19" s="488"/>
      <c r="E19" s="1358"/>
      <c r="F19" s="1359"/>
      <c r="G19" s="1359"/>
      <c r="H19" s="1359"/>
      <c r="I19" s="1359"/>
      <c r="J19" s="1359"/>
      <c r="K19" s="1360"/>
      <c r="L19" s="1081">
        <v>100</v>
      </c>
      <c r="M19" s="1351">
        <v>100</v>
      </c>
      <c r="N19" s="1352"/>
      <c r="O19" s="1277">
        <f>L15+L17+L19+L21+L23+M17+M19+M21+M23</f>
        <v>1400</v>
      </c>
      <c r="P19" s="1278"/>
      <c r="Q19" s="497"/>
      <c r="R19" s="496"/>
      <c r="S19" s="497"/>
      <c r="T19" s="496"/>
      <c r="U19" s="496"/>
      <c r="V19" s="497"/>
      <c r="W19" s="497"/>
      <c r="X19" s="497"/>
      <c r="Y19" s="497"/>
      <c r="Z19" s="497"/>
      <c r="AA19" s="497"/>
      <c r="AB19" s="485"/>
      <c r="AC19" s="1072"/>
      <c r="AO19" s="739" t="str">
        <f>IF(OR(R135="/",R135="neen")," ","Colonnes bois (FSC)")</f>
        <v xml:space="preserve"> </v>
      </c>
      <c r="AP19" s="740"/>
      <c r="AQ19" s="717"/>
      <c r="AR19" s="717"/>
      <c r="AS19" s="717"/>
      <c r="AT19" s="738" t="s">
        <v>1986</v>
      </c>
      <c r="AU19" s="717"/>
      <c r="AV19" s="717"/>
      <c r="AW19" s="740"/>
      <c r="AX19" s="738" t="str">
        <f>IF(X137="hout","Cellulose"," ")</f>
        <v xml:space="preserve"> </v>
      </c>
      <c r="AY19" s="740"/>
      <c r="AZ19" s="738" t="str">
        <f>IF(OR(R137="LOURD",R137="LÉGER"),"Briques"," ")</f>
        <v xml:space="preserve"> </v>
      </c>
      <c r="BA19" s="717"/>
      <c r="BB19" s="716"/>
      <c r="BC19" s="717"/>
      <c r="BD19" s="717"/>
      <c r="BE19" s="717"/>
      <c r="BF19" s="717"/>
      <c r="BG19" s="717"/>
      <c r="BH19" s="716"/>
    </row>
    <row r="20" spans="1:60" ht="15.75" thickBot="1">
      <c r="A20" s="1072"/>
      <c r="B20" s="1072"/>
      <c r="C20" s="1072"/>
      <c r="D20" s="488"/>
      <c r="E20" s="1358"/>
      <c r="F20" s="1359"/>
      <c r="G20" s="1359"/>
      <c r="H20" s="1359"/>
      <c r="I20" s="1359"/>
      <c r="J20" s="1359"/>
      <c r="K20" s="1360"/>
      <c r="L20" s="625" t="s">
        <v>1106</v>
      </c>
      <c r="M20" s="1349" t="s">
        <v>1109</v>
      </c>
      <c r="N20" s="1350"/>
      <c r="O20" s="1349" t="s">
        <v>1113</v>
      </c>
      <c r="P20" s="1350"/>
      <c r="Q20" s="497"/>
      <c r="R20" s="496"/>
      <c r="S20" s="497"/>
      <c r="T20" s="496"/>
      <c r="U20" s="496"/>
      <c r="V20" s="497"/>
      <c r="W20" s="497"/>
      <c r="X20" s="497"/>
      <c r="Y20" s="497"/>
      <c r="Z20" s="497"/>
      <c r="AA20" s="497"/>
      <c r="AB20" s="485"/>
      <c r="AC20" s="1072"/>
      <c r="AO20" s="739" t="str">
        <f>IF(OR(R135="/",R135="neen")," ","Colonnes béton")</f>
        <v xml:space="preserve"> </v>
      </c>
      <c r="AP20" s="740"/>
      <c r="AQ20" s="717"/>
      <c r="AR20" s="717"/>
      <c r="AS20" s="717"/>
      <c r="AT20" s="738" t="s">
        <v>1987</v>
      </c>
      <c r="AU20" s="717"/>
      <c r="AV20" s="717"/>
      <c r="AW20" s="740"/>
      <c r="AX20" s="738" t="str">
        <f>IF(OR(X137="Zware betonelementen",X137="Zware elementen in keramisch materiaal",X137="elementen andere materialen",R137="LÉGER"),"Ander isolatiemateriaal"," ")</f>
        <v xml:space="preserve"> </v>
      </c>
      <c r="AY20" s="740"/>
      <c r="AZ20" s="738" t="str">
        <f>IF(OR(R137="LOURD",R137="LÉGER"),"Enduit"," ")</f>
        <v xml:space="preserve"> </v>
      </c>
      <c r="BA20" s="717"/>
      <c r="BB20" s="716"/>
      <c r="BC20" s="717"/>
      <c r="BD20" s="717"/>
      <c r="BE20" s="717"/>
      <c r="BF20" s="717"/>
      <c r="BG20" s="717"/>
      <c r="BH20" s="716"/>
    </row>
    <row r="21" spans="1:60" ht="15.75" thickBot="1">
      <c r="A21" s="1072"/>
      <c r="B21" s="1072"/>
      <c r="C21" s="1072"/>
      <c r="D21" s="488"/>
      <c r="E21" s="1355" t="str">
        <f>"postcode : "&amp;'2-Algemene gegevens'!C8</f>
        <v xml:space="preserve">postcode : </v>
      </c>
      <c r="F21" s="1356"/>
      <c r="G21" s="1356"/>
      <c r="H21" s="1356"/>
      <c r="I21" s="1356"/>
      <c r="J21" s="1356"/>
      <c r="K21" s="1357"/>
      <c r="L21" s="1082">
        <v>100</v>
      </c>
      <c r="M21" s="1351">
        <v>300</v>
      </c>
      <c r="N21" s="1352"/>
      <c r="O21" s="1277">
        <f>L15+L17+L19+L21+L23</f>
        <v>450</v>
      </c>
      <c r="P21" s="1278"/>
      <c r="Q21" s="497"/>
      <c r="R21" s="496"/>
      <c r="S21" s="497"/>
      <c r="T21" s="496"/>
      <c r="U21" s="496"/>
      <c r="V21" s="497"/>
      <c r="W21" s="497"/>
      <c r="X21" s="497"/>
      <c r="Y21" s="497"/>
      <c r="Z21" s="497"/>
      <c r="AA21" s="497"/>
      <c r="AB21" s="485"/>
      <c r="AC21" s="1072"/>
      <c r="AO21" s="742" t="str">
        <f>IF(OR(R135="/",R135="neen")," ","Colonnes métal")</f>
        <v xml:space="preserve"> </v>
      </c>
      <c r="AP21" s="741"/>
      <c r="AQ21" s="717"/>
      <c r="AR21" s="717"/>
      <c r="AS21" s="717"/>
      <c r="AT21" s="747" t="s">
        <v>1988</v>
      </c>
      <c r="AU21" s="717"/>
      <c r="AV21" s="717"/>
      <c r="AW21" s="717"/>
      <c r="AX21" s="738" t="str">
        <f>IF(OR(X138="Zware betonelementen",X138="Zware elementen in keramisch materiaal",X138="elementen andere materialen",R138="LÉGER"),"Ander isolatiemateriaal"," ")</f>
        <v xml:space="preserve"> </v>
      </c>
      <c r="AY21" s="740"/>
      <c r="AZ21" s="747" t="str">
        <f>IF(OR(R137="zwaar",R137="licht"),"houten bardage"," ")</f>
        <v>houten bardage</v>
      </c>
      <c r="BA21" s="746"/>
      <c r="BB21" s="752"/>
      <c r="BC21" s="717"/>
      <c r="BD21" s="717"/>
      <c r="BE21" s="717"/>
      <c r="BF21" s="717"/>
      <c r="BG21" s="717"/>
      <c r="BH21" s="716"/>
    </row>
    <row r="22" spans="1:60" ht="15.75" thickBot="1">
      <c r="A22" s="1072"/>
      <c r="B22" s="1072"/>
      <c r="C22" s="1072"/>
      <c r="D22" s="488"/>
      <c r="E22" s="1358"/>
      <c r="F22" s="1359"/>
      <c r="G22" s="1359"/>
      <c r="H22" s="1359"/>
      <c r="I22" s="1359"/>
      <c r="J22" s="1359"/>
      <c r="K22" s="1360"/>
      <c r="L22" s="625" t="s">
        <v>1107</v>
      </c>
      <c r="M22" s="1349" t="s">
        <v>1117</v>
      </c>
      <c r="N22" s="1350"/>
      <c r="O22" s="1349" t="s">
        <v>1114</v>
      </c>
      <c r="P22" s="1350"/>
      <c r="Q22" s="497"/>
      <c r="R22" s="496"/>
      <c r="S22" s="497"/>
      <c r="T22" s="496"/>
      <c r="U22" s="496"/>
      <c r="V22" s="497"/>
      <c r="W22" s="497"/>
      <c r="X22" s="497"/>
      <c r="Y22" s="497"/>
      <c r="Z22" s="497"/>
      <c r="AA22" s="497"/>
      <c r="AB22" s="485"/>
      <c r="AC22" s="1072"/>
      <c r="AO22" s="751" t="s">
        <v>744</v>
      </c>
      <c r="AP22" s="748"/>
      <c r="AQ22" s="717"/>
      <c r="AR22" s="717"/>
      <c r="AS22" s="717"/>
      <c r="AT22" s="750" t="str">
        <f>IF(R137="LÉGER","Caisson acier"," ")</f>
        <v xml:space="preserve"> </v>
      </c>
      <c r="AU22" s="749"/>
      <c r="AV22" s="749"/>
      <c r="AW22" s="748"/>
      <c r="AX22" s="738" t="str">
        <f>IF($R$137="SANDWICH","Béton/Polyuréthane/Béton"," ")</f>
        <v xml:space="preserve"> </v>
      </c>
      <c r="AY22" s="740"/>
      <c r="AZ22" s="717"/>
      <c r="BA22" s="717"/>
      <c r="BB22" s="716"/>
      <c r="BC22" s="717"/>
      <c r="BD22" s="717"/>
      <c r="BE22" s="717"/>
      <c r="BF22" s="717"/>
      <c r="BG22" s="717"/>
      <c r="BH22" s="716"/>
    </row>
    <row r="23" spans="1:60" ht="15.75" thickBot="1">
      <c r="A23" s="1072"/>
      <c r="B23" s="1072"/>
      <c r="C23" s="1072"/>
      <c r="D23" s="488"/>
      <c r="E23" s="1361"/>
      <c r="F23" s="1362"/>
      <c r="G23" s="1362"/>
      <c r="H23" s="1362"/>
      <c r="I23" s="1362"/>
      <c r="J23" s="1362"/>
      <c r="K23" s="1363"/>
      <c r="L23" s="1082">
        <v>100</v>
      </c>
      <c r="M23" s="1353">
        <v>150</v>
      </c>
      <c r="N23" s="1354"/>
      <c r="O23" s="1277">
        <f>L15+L19+L21+L23+M15+M17-M19</f>
        <v>800</v>
      </c>
      <c r="P23" s="1278"/>
      <c r="Q23" s="497"/>
      <c r="R23" s="496"/>
      <c r="S23" s="497"/>
      <c r="T23" s="496"/>
      <c r="U23" s="496"/>
      <c r="V23" s="497"/>
      <c r="W23" s="497"/>
      <c r="X23" s="497"/>
      <c r="Y23" s="497"/>
      <c r="Z23" s="497"/>
      <c r="AA23" s="497"/>
      <c r="AB23" s="485"/>
      <c r="AC23" s="1072"/>
      <c r="AO23" s="739" t="str">
        <f>IF(OR(R135="/",R135="neen")," ","Poutres bois")</f>
        <v xml:space="preserve"> </v>
      </c>
      <c r="AP23" s="740"/>
      <c r="AQ23" s="717"/>
      <c r="AR23" s="717"/>
      <c r="AS23" s="717"/>
      <c r="AT23" s="747" t="str">
        <f>IF(R137="LÉGER","Caisson bois"," ")</f>
        <v xml:space="preserve"> </v>
      </c>
      <c r="AU23" s="746"/>
      <c r="AV23" s="746"/>
      <c r="AW23" s="741"/>
      <c r="AX23" s="738" t="str">
        <f>IF($R$137="SANDWICH","Béton/Autre isolatiemateriaal minéral/Béton"," ")</f>
        <v xml:space="preserve"> </v>
      </c>
      <c r="AY23" s="717"/>
      <c r="AZ23" s="717"/>
      <c r="BA23" s="717"/>
      <c r="BB23" s="716"/>
      <c r="BC23" s="717"/>
      <c r="BD23" s="717"/>
      <c r="BE23" s="717"/>
      <c r="BF23" s="717"/>
      <c r="BG23" s="717"/>
      <c r="BH23" s="716"/>
    </row>
    <row r="24" spans="1:60" ht="15.75" thickBot="1">
      <c r="A24" s="1072"/>
      <c r="B24" s="1072"/>
      <c r="C24" s="1072"/>
      <c r="D24" s="517"/>
      <c r="E24" s="508"/>
      <c r="F24" s="508"/>
      <c r="G24" s="508"/>
      <c r="H24" s="508"/>
      <c r="I24" s="508"/>
      <c r="J24" s="508"/>
      <c r="K24" s="516"/>
      <c r="L24" s="508"/>
      <c r="M24" s="619"/>
      <c r="N24" s="619"/>
      <c r="O24" s="508"/>
      <c r="P24" s="508"/>
      <c r="Q24" s="508"/>
      <c r="R24" s="515"/>
      <c r="S24" s="508"/>
      <c r="T24" s="515"/>
      <c r="U24" s="515"/>
      <c r="V24" s="508"/>
      <c r="W24" s="508"/>
      <c r="X24" s="508"/>
      <c r="Y24" s="508"/>
      <c r="Z24" s="508"/>
      <c r="AA24" s="508"/>
      <c r="AB24" s="514"/>
      <c r="AC24" s="1072"/>
      <c r="AO24" s="739" t="str">
        <f>IF(OR(R135="/",R135="neen")," ","Poutres bois (FSC)")</f>
        <v xml:space="preserve"> </v>
      </c>
      <c r="AP24" s="740"/>
      <c r="AQ24" s="717"/>
      <c r="AR24" s="717"/>
      <c r="AS24" s="717"/>
      <c r="AT24" s="745" t="str">
        <f>IF(R137="SANDWICH","Panneau sandwich"," ")</f>
        <v xml:space="preserve"> </v>
      </c>
      <c r="AU24" s="744"/>
      <c r="AV24" s="744"/>
      <c r="AW24" s="743"/>
      <c r="AX24" s="738" t="str">
        <f>IF($R$137="SANDWICH","Béton/Autre isolatiemateriaal pétrochimique/Béton"," ")</f>
        <v xml:space="preserve"> </v>
      </c>
      <c r="AY24" s="717"/>
      <c r="AZ24" s="717"/>
      <c r="BA24" s="717"/>
      <c r="BB24" s="716"/>
      <c r="BC24" s="717"/>
      <c r="BD24" s="717"/>
      <c r="BE24" s="717"/>
      <c r="BF24" s="717"/>
      <c r="BG24" s="717"/>
      <c r="BH24" s="716"/>
    </row>
    <row r="25" spans="1:60" ht="15.75" thickBot="1">
      <c r="A25" s="1072"/>
      <c r="B25" s="1072"/>
      <c r="C25" s="1072"/>
      <c r="D25" s="1076"/>
      <c r="E25" s="1077"/>
      <c r="F25" s="1077"/>
      <c r="G25" s="1077"/>
      <c r="H25" s="1077"/>
      <c r="I25" s="1077"/>
      <c r="J25" s="1077"/>
      <c r="K25" s="1078"/>
      <c r="L25" s="1077"/>
      <c r="M25" s="1079"/>
      <c r="N25" s="1079"/>
      <c r="O25" s="1077"/>
      <c r="P25" s="1077"/>
      <c r="Q25" s="1072"/>
      <c r="R25" s="1074"/>
      <c r="S25" s="1072"/>
      <c r="T25" s="1074"/>
      <c r="U25" s="1074"/>
      <c r="V25" s="1072"/>
      <c r="W25" s="1072"/>
      <c r="X25" s="1072"/>
      <c r="Y25" s="1072"/>
      <c r="Z25" s="1072"/>
      <c r="AA25" s="1072"/>
      <c r="AB25" s="1072"/>
      <c r="AC25" s="1072"/>
      <c r="AN25" s="737"/>
      <c r="AO25" s="739" t="str">
        <f>IF(OR(R135="/",R135="neen",X135="Colonnes Bois",X135="Colonnes Bois (FSC)",X135="Colonnes métal")," ","Poutres béton")</f>
        <v xml:space="preserve"> </v>
      </c>
      <c r="AP25" s="740"/>
      <c r="AQ25" s="717"/>
      <c r="AR25" s="717"/>
      <c r="AS25" s="717"/>
      <c r="AT25" s="717"/>
      <c r="AU25" s="717"/>
      <c r="AV25" s="717"/>
      <c r="AW25" s="717"/>
      <c r="AX25" s="738" t="str">
        <f>IF($R$137="SANDWICH","Béton/Autre isolatiemateriaal végétal/Béton"," ")</f>
        <v xml:space="preserve"> </v>
      </c>
      <c r="AY25" s="717"/>
      <c r="AZ25" s="717"/>
      <c r="BA25" s="717"/>
      <c r="BB25" s="716"/>
      <c r="BC25" s="717"/>
      <c r="BD25" s="717"/>
      <c r="BE25" s="717"/>
      <c r="BF25" s="717"/>
      <c r="BG25" s="717"/>
      <c r="BH25" s="716"/>
    </row>
    <row r="26" spans="1:60" ht="15.75" thickBot="1">
      <c r="A26" s="1072"/>
      <c r="B26" s="1072"/>
      <c r="C26" s="1072"/>
      <c r="D26" s="492"/>
      <c r="E26" s="491"/>
      <c r="F26" s="491"/>
      <c r="G26" s="491"/>
      <c r="H26" s="491"/>
      <c r="I26" s="491"/>
      <c r="J26" s="491"/>
      <c r="K26" s="617"/>
      <c r="L26" s="491"/>
      <c r="M26" s="491"/>
      <c r="N26" s="491"/>
      <c r="O26" s="491"/>
      <c r="P26" s="491"/>
      <c r="Q26" s="491"/>
      <c r="R26" s="548"/>
      <c r="S26" s="491"/>
      <c r="T26" s="548"/>
      <c r="U26" s="548"/>
      <c r="V26" s="491"/>
      <c r="W26" s="491"/>
      <c r="X26" s="491"/>
      <c r="Y26" s="491"/>
      <c r="Z26" s="491"/>
      <c r="AA26" s="491"/>
      <c r="AB26" s="490"/>
      <c r="AC26" s="1072"/>
      <c r="AN26" s="737"/>
      <c r="AO26" s="742" t="str">
        <f>IF(OR(R135="/",R135="neen")," ","Poutres métal")</f>
        <v xml:space="preserve"> </v>
      </c>
      <c r="AP26" s="741"/>
      <c r="AQ26" s="717"/>
      <c r="AR26" s="717"/>
      <c r="AS26" s="717"/>
      <c r="AT26" s="717"/>
      <c r="AU26" s="717"/>
      <c r="AV26" s="717"/>
      <c r="AW26" s="717"/>
      <c r="AX26" s="738" t="str">
        <f>IF($R$137="SANDWICH","Acier/Polyuréthane/Acier"," ")</f>
        <v xml:space="preserve"> </v>
      </c>
      <c r="AY26" s="740"/>
      <c r="AZ26" s="717"/>
      <c r="BA26" s="717"/>
      <c r="BB26" s="716"/>
      <c r="BC26" s="717"/>
      <c r="BD26" s="717"/>
      <c r="BE26" s="717"/>
      <c r="BF26" s="717"/>
      <c r="BG26" s="717"/>
      <c r="BH26" s="716"/>
    </row>
    <row r="27" spans="1:60">
      <c r="A27" s="1072"/>
      <c r="B27" s="1072"/>
      <c r="C27" s="1072"/>
      <c r="D27" s="488"/>
      <c r="E27" s="1427"/>
      <c r="F27" s="1419"/>
      <c r="G27" s="1419"/>
      <c r="H27" s="1419"/>
      <c r="I27" s="1419"/>
      <c r="J27" s="1419"/>
      <c r="K27" s="1419"/>
      <c r="L27" s="1419"/>
      <c r="M27" s="1419"/>
      <c r="N27" s="1419"/>
      <c r="O27" s="1419"/>
      <c r="P27" s="1420"/>
      <c r="Q27" s="497"/>
      <c r="R27" s="496"/>
      <c r="S27" s="497"/>
      <c r="T27" s="496"/>
      <c r="U27" s="496"/>
      <c r="V27" s="497"/>
      <c r="W27" s="497"/>
      <c r="X27" s="497"/>
      <c r="Y27" s="497"/>
      <c r="Z27" s="497"/>
      <c r="AA27" s="497"/>
      <c r="AB27" s="485"/>
      <c r="AC27" s="1072"/>
      <c r="AN27" s="737"/>
      <c r="AO27" s="739"/>
      <c r="AP27" s="717"/>
      <c r="AQ27" s="717"/>
      <c r="AR27" s="717"/>
      <c r="AS27" s="717"/>
      <c r="AT27" s="717"/>
      <c r="AU27" s="717"/>
      <c r="AV27" s="717"/>
      <c r="AW27" s="717"/>
      <c r="AX27" s="738" t="str">
        <f>IF($R$137="SANDWICH","Acier/Laine minérale/Acier"," ")</f>
        <v xml:space="preserve"> </v>
      </c>
      <c r="AY27" s="740"/>
      <c r="AZ27" s="717"/>
      <c r="BA27" s="717"/>
      <c r="BB27" s="716"/>
      <c r="BC27" s="717"/>
      <c r="BD27" s="717"/>
      <c r="BE27" s="717"/>
      <c r="BF27" s="717"/>
      <c r="BG27" s="717"/>
      <c r="BH27" s="716"/>
    </row>
    <row r="28" spans="1:60" ht="15.75" thickBot="1">
      <c r="A28" s="1072"/>
      <c r="B28" s="1072"/>
      <c r="C28" s="1072"/>
      <c r="D28" s="488"/>
      <c r="E28" s="1428"/>
      <c r="F28" s="1429"/>
      <c r="G28" s="1429"/>
      <c r="H28" s="1429"/>
      <c r="I28" s="1429"/>
      <c r="J28" s="1421"/>
      <c r="K28" s="1421"/>
      <c r="L28" s="1421"/>
      <c r="M28" s="1421"/>
      <c r="N28" s="1421"/>
      <c r="O28" s="1421"/>
      <c r="P28" s="1422"/>
      <c r="Q28" s="497"/>
      <c r="R28" s="496"/>
      <c r="S28" s="497"/>
      <c r="T28" s="496"/>
      <c r="U28" s="496"/>
      <c r="V28" s="497"/>
      <c r="W28" s="497"/>
      <c r="X28" s="497"/>
      <c r="Y28" s="497"/>
      <c r="Z28" s="497"/>
      <c r="AA28" s="497"/>
      <c r="AB28" s="485"/>
      <c r="AC28" s="1072"/>
      <c r="AO28" s="739"/>
      <c r="AP28" s="717"/>
      <c r="AQ28" s="717"/>
      <c r="AR28" s="717"/>
      <c r="AS28" s="717"/>
      <c r="AT28" s="717"/>
      <c r="AU28" s="717"/>
      <c r="AV28" s="717"/>
      <c r="AW28" s="717"/>
      <c r="AX28" s="738" t="str">
        <f>IF($R$137="SANDWICH","Acier/Autre isolatiemateriaal pétrochimique/Acier"," ")</f>
        <v xml:space="preserve"> </v>
      </c>
      <c r="AY28" s="717"/>
      <c r="AZ28" s="717"/>
      <c r="BA28" s="717"/>
      <c r="BB28" s="716"/>
      <c r="BC28" s="717"/>
      <c r="BD28" s="717"/>
      <c r="BE28" s="717"/>
      <c r="BF28" s="717"/>
      <c r="BG28" s="717"/>
      <c r="BH28" s="716"/>
    </row>
    <row r="29" spans="1:60">
      <c r="A29" s="1072"/>
      <c r="B29" s="1072"/>
      <c r="C29" s="1072"/>
      <c r="D29" s="488"/>
      <c r="E29" s="1293" t="s">
        <v>1120</v>
      </c>
      <c r="F29" s="1294"/>
      <c r="G29" s="1294"/>
      <c r="H29" s="1295"/>
      <c r="I29" s="1398" t="s">
        <v>1123</v>
      </c>
      <c r="J29" s="1399"/>
      <c r="K29" s="1399"/>
      <c r="L29" s="1400"/>
      <c r="M29" s="1430" t="s">
        <v>641</v>
      </c>
      <c r="N29" s="1263" t="s">
        <v>639</v>
      </c>
      <c r="O29" s="1410" t="s">
        <v>638</v>
      </c>
      <c r="P29" s="1263" t="s">
        <v>636</v>
      </c>
      <c r="Q29" s="497"/>
      <c r="R29" s="496"/>
      <c r="S29" s="497"/>
      <c r="T29" s="496"/>
      <c r="U29" s="496"/>
      <c r="V29" s="497"/>
      <c r="W29" s="497"/>
      <c r="X29" s="497"/>
      <c r="Y29" s="497"/>
      <c r="Z29" s="497"/>
      <c r="AA29" s="497"/>
      <c r="AB29" s="485"/>
      <c r="AC29" s="1072"/>
      <c r="AN29" s="737"/>
      <c r="AO29" s="739"/>
      <c r="AP29" s="717"/>
      <c r="AQ29" s="717"/>
      <c r="AR29" s="717"/>
      <c r="AS29" s="717"/>
      <c r="AT29" s="717"/>
      <c r="AU29" s="717"/>
      <c r="AV29" s="717"/>
      <c r="AW29" s="717"/>
      <c r="AX29" s="738" t="str">
        <f>IF($R$137="SANDWICH","Acier/Autre isolatiemateriaal végétal/Acier"," ")</f>
        <v xml:space="preserve"> </v>
      </c>
      <c r="AY29" s="717"/>
      <c r="AZ29" s="717"/>
      <c r="BA29" s="717"/>
      <c r="BB29" s="716"/>
      <c r="BC29" s="717"/>
      <c r="BD29" s="717"/>
      <c r="BE29" s="717"/>
      <c r="BF29" s="717"/>
      <c r="BG29" s="717"/>
      <c r="BH29" s="716"/>
    </row>
    <row r="30" spans="1:60" ht="15.75" thickBot="1">
      <c r="A30" s="1072"/>
      <c r="B30" s="1072"/>
      <c r="C30" s="1072"/>
      <c r="D30" s="488"/>
      <c r="E30" s="1296"/>
      <c r="F30" s="1297"/>
      <c r="G30" s="1297"/>
      <c r="H30" s="1298"/>
      <c r="I30" s="1401"/>
      <c r="J30" s="1402"/>
      <c r="K30" s="1402"/>
      <c r="L30" s="1403"/>
      <c r="M30" s="1431"/>
      <c r="N30" s="1264"/>
      <c r="O30" s="1411"/>
      <c r="P30" s="1264"/>
      <c r="Q30" s="497"/>
      <c r="R30" s="496"/>
      <c r="S30" s="497"/>
      <c r="T30" s="496"/>
      <c r="U30" s="496"/>
      <c r="V30" s="497"/>
      <c r="W30" s="497"/>
      <c r="X30" s="497"/>
      <c r="Y30" s="497"/>
      <c r="Z30" s="497"/>
      <c r="AA30" s="497"/>
      <c r="AB30" s="485"/>
      <c r="AC30" s="1072"/>
      <c r="AN30" s="737"/>
      <c r="AO30" s="739"/>
      <c r="AP30" s="717"/>
      <c r="AQ30" s="717"/>
      <c r="AR30" s="717"/>
      <c r="AS30" s="717"/>
      <c r="AT30" s="717"/>
      <c r="AU30" s="717"/>
      <c r="AV30" s="717"/>
      <c r="AW30" s="717"/>
      <c r="AX30" s="738" t="str">
        <f>IF($R$137="SANDWICH","Bois/Laine minérale/Bois"," ")</f>
        <v xml:space="preserve"> </v>
      </c>
      <c r="AY30" s="717"/>
      <c r="AZ30" s="717"/>
      <c r="BA30" s="717"/>
      <c r="BB30" s="716"/>
      <c r="BC30" s="717"/>
      <c r="BD30" s="717"/>
      <c r="BE30" s="717"/>
      <c r="BF30" s="717"/>
      <c r="BG30" s="717"/>
      <c r="BH30" s="716"/>
    </row>
    <row r="31" spans="1:60" ht="15.75" thickBot="1">
      <c r="A31" s="1072"/>
      <c r="B31" s="1072"/>
      <c r="C31" s="1072"/>
      <c r="D31" s="488"/>
      <c r="E31" s="1341" t="s">
        <v>1121</v>
      </c>
      <c r="F31" s="1342"/>
      <c r="G31" s="1341" t="s">
        <v>1122</v>
      </c>
      <c r="H31" s="1342"/>
      <c r="I31" s="1084" t="s">
        <v>135</v>
      </c>
      <c r="J31" s="1364" t="s">
        <v>1124</v>
      </c>
      <c r="K31" s="1365"/>
      <c r="L31" s="1365"/>
      <c r="M31" s="1365"/>
      <c r="N31" s="1365"/>
      <c r="O31" s="1365"/>
      <c r="P31" s="1366"/>
      <c r="Q31" s="497"/>
      <c r="R31" s="496"/>
      <c r="S31" s="497"/>
      <c r="T31" s="496"/>
      <c r="U31" s="496"/>
      <c r="V31" s="497"/>
      <c r="W31" s="497"/>
      <c r="X31" s="497"/>
      <c r="Y31" s="497"/>
      <c r="Z31" s="497"/>
      <c r="AA31" s="497"/>
      <c r="AB31" s="485"/>
      <c r="AC31" s="1072"/>
      <c r="AN31" s="737"/>
      <c r="AO31" s="739"/>
      <c r="AP31" s="717"/>
      <c r="AQ31" s="717"/>
      <c r="AR31" s="717"/>
      <c r="AS31" s="717"/>
      <c r="AT31" s="717"/>
      <c r="AU31" s="717"/>
      <c r="AV31" s="717"/>
      <c r="AW31" s="717"/>
      <c r="AX31" s="738" t="str">
        <f>IF($R$137="SANDWICH","Bois/Fibres bois/Bois"," ")</f>
        <v xml:space="preserve"> </v>
      </c>
      <c r="AY31" s="717"/>
      <c r="AZ31" s="717"/>
      <c r="BA31" s="717"/>
      <c r="BB31" s="716"/>
      <c r="BC31" s="717"/>
      <c r="BD31" s="717"/>
      <c r="BE31" s="717"/>
      <c r="BF31" s="717"/>
      <c r="BG31" s="717"/>
      <c r="BH31" s="716"/>
    </row>
    <row r="32" spans="1:60" ht="15.75" customHeight="1" thickBot="1">
      <c r="A32" s="1072"/>
      <c r="B32" s="1072"/>
      <c r="C32" s="1072"/>
      <c r="D32" s="488"/>
      <c r="E32" s="1343"/>
      <c r="F32" s="1344"/>
      <c r="G32" s="1343"/>
      <c r="H32" s="1344"/>
      <c r="I32" s="1085" t="s">
        <v>742</v>
      </c>
      <c r="J32" s="1367" t="s">
        <v>1125</v>
      </c>
      <c r="K32" s="1368"/>
      <c r="L32" s="1368"/>
      <c r="M32" s="1368"/>
      <c r="N32" s="1368"/>
      <c r="O32" s="1368"/>
      <c r="P32" s="1369"/>
      <c r="Q32" s="497"/>
      <c r="R32" s="496"/>
      <c r="S32" s="497"/>
      <c r="T32" s="496"/>
      <c r="U32" s="496"/>
      <c r="V32" s="497"/>
      <c r="W32" s="497"/>
      <c r="X32" s="497"/>
      <c r="Y32" s="497"/>
      <c r="Z32" s="497"/>
      <c r="AA32" s="497"/>
      <c r="AB32" s="485"/>
      <c r="AC32" s="1072"/>
      <c r="AN32" s="737"/>
      <c r="AO32" s="739"/>
      <c r="AP32" s="717"/>
      <c r="AQ32" s="717"/>
      <c r="AR32" s="717"/>
      <c r="AS32" s="717"/>
      <c r="AT32" s="717"/>
      <c r="AU32" s="717"/>
      <c r="AV32" s="717"/>
      <c r="AW32" s="717"/>
      <c r="AX32" s="738" t="str">
        <f>IF($R$137="SANDWICH","Bois/Autre isolatiemateriaal végétal/Bois"," ")</f>
        <v xml:space="preserve"> </v>
      </c>
      <c r="AY32" s="717"/>
      <c r="AZ32" s="717"/>
      <c r="BA32" s="717"/>
      <c r="BB32" s="716"/>
      <c r="BC32" s="717"/>
      <c r="BD32" s="717"/>
      <c r="BE32" s="717"/>
      <c r="BF32" s="717"/>
      <c r="BG32" s="717"/>
      <c r="BH32" s="716"/>
    </row>
    <row r="33" spans="1:60" ht="15" customHeight="1" thickBot="1">
      <c r="A33" s="1072"/>
      <c r="B33" s="1072"/>
      <c r="C33" s="1072"/>
      <c r="D33" s="488"/>
      <c r="E33" s="1333" t="s">
        <v>672</v>
      </c>
      <c r="F33" s="1334"/>
      <c r="G33" s="1333" t="s">
        <v>672</v>
      </c>
      <c r="H33" s="1334"/>
      <c r="I33" s="1236" t="s">
        <v>741</v>
      </c>
      <c r="J33" s="1086" t="s">
        <v>1126</v>
      </c>
      <c r="K33" s="1311" t="s">
        <v>1155</v>
      </c>
      <c r="L33" s="1312"/>
      <c r="M33" s="1091" t="s">
        <v>641</v>
      </c>
      <c r="N33" s="1091" t="s">
        <v>639</v>
      </c>
      <c r="O33" s="1091" t="s">
        <v>638</v>
      </c>
      <c r="P33" s="1092" t="s">
        <v>636</v>
      </c>
      <c r="Q33" s="497"/>
      <c r="R33" s="496"/>
      <c r="S33" s="497"/>
      <c r="T33" s="496"/>
      <c r="U33" s="496"/>
      <c r="V33" s="497"/>
      <c r="W33" s="497"/>
      <c r="X33" s="497"/>
      <c r="Y33" s="497"/>
      <c r="Z33" s="497"/>
      <c r="AA33" s="497"/>
      <c r="AB33" s="485"/>
      <c r="AC33" s="1072"/>
      <c r="AN33" s="737"/>
      <c r="AO33" s="736"/>
      <c r="AP33" s="713"/>
      <c r="AQ33" s="713"/>
      <c r="AR33" s="713"/>
      <c r="AS33" s="713"/>
      <c r="AT33" s="713"/>
      <c r="AU33" s="713"/>
      <c r="AV33" s="713"/>
      <c r="AW33" s="713"/>
      <c r="AX33" s="713" t="str">
        <f>IF($R$137="SANDWICH","Bois/Autre isolatiemateriaal pétrochimique/Bois"," ")</f>
        <v xml:space="preserve"> </v>
      </c>
      <c r="AY33" s="713"/>
      <c r="AZ33" s="713"/>
      <c r="BA33" s="713"/>
      <c r="BB33" s="712"/>
      <c r="BC33" s="717"/>
      <c r="BD33" s="717"/>
      <c r="BE33" s="717"/>
      <c r="BF33" s="717"/>
      <c r="BG33" s="717"/>
      <c r="BH33" s="716"/>
    </row>
    <row r="34" spans="1:60" ht="43.5" thickBot="1">
      <c r="A34" s="1072"/>
      <c r="B34" s="1075" t="s">
        <v>1134</v>
      </c>
      <c r="C34" s="1072"/>
      <c r="D34" s="488"/>
      <c r="E34" s="1335"/>
      <c r="F34" s="1336"/>
      <c r="G34" s="1335"/>
      <c r="H34" s="1336"/>
      <c r="I34" s="1237"/>
      <c r="J34" s="1087" t="s">
        <v>1135</v>
      </c>
      <c r="K34" s="1379" t="s">
        <v>1136</v>
      </c>
      <c r="L34" s="1380"/>
      <c r="M34" s="735" t="s">
        <v>1140</v>
      </c>
      <c r="N34" s="735" t="s">
        <v>1141</v>
      </c>
      <c r="O34" s="735" t="s">
        <v>1142</v>
      </c>
      <c r="P34" s="735" t="s">
        <v>1143</v>
      </c>
      <c r="Q34" s="497"/>
      <c r="R34" s="496"/>
      <c r="S34" s="497"/>
      <c r="T34" s="496"/>
      <c r="U34" s="496"/>
      <c r="V34" s="497"/>
      <c r="W34" s="497"/>
      <c r="AB34" s="485"/>
      <c r="AC34" s="1072"/>
      <c r="AO34" s="734" t="s">
        <v>1128</v>
      </c>
      <c r="AP34" s="717"/>
      <c r="AQ34" s="717"/>
      <c r="AR34" s="717"/>
      <c r="AS34" s="733" t="s">
        <v>1129</v>
      </c>
      <c r="AT34" s="717"/>
      <c r="AU34" s="717"/>
      <c r="AV34" s="717"/>
      <c r="AW34" s="717"/>
      <c r="AX34" s="717"/>
      <c r="AY34" s="733" t="s">
        <v>1130</v>
      </c>
      <c r="AZ34" s="717"/>
      <c r="BA34" s="717"/>
      <c r="BB34" s="717"/>
      <c r="BC34" s="717"/>
      <c r="BD34" s="733" t="s">
        <v>1131</v>
      </c>
      <c r="BE34" s="717"/>
      <c r="BF34" s="733" t="s">
        <v>1131</v>
      </c>
      <c r="BG34" s="717"/>
      <c r="BH34" s="716"/>
    </row>
    <row r="35" spans="1:60" ht="15.75" customHeight="1" thickBot="1">
      <c r="A35" s="1072"/>
      <c r="B35" s="1072"/>
      <c r="C35" s="1072"/>
      <c r="D35" s="488"/>
      <c r="E35" s="1335"/>
      <c r="F35" s="1336"/>
      <c r="G35" s="1335"/>
      <c r="H35" s="1336"/>
      <c r="I35" s="1237"/>
      <c r="J35" s="1303" t="s">
        <v>1132</v>
      </c>
      <c r="K35" s="1088" t="s">
        <v>724</v>
      </c>
      <c r="L35" s="1377" t="s">
        <v>1137</v>
      </c>
      <c r="M35" s="1377"/>
      <c r="N35" s="1377"/>
      <c r="O35" s="1377"/>
      <c r="P35" s="1378"/>
      <c r="Q35" s="497"/>
      <c r="R35" s="1093" t="s">
        <v>1095</v>
      </c>
      <c r="S35" s="559"/>
      <c r="T35" s="690"/>
      <c r="U35" s="690"/>
      <c r="V35" s="541"/>
      <c r="W35" s="541"/>
      <c r="X35" s="541"/>
      <c r="Y35" s="541"/>
      <c r="Z35" s="541"/>
      <c r="AA35" s="557"/>
      <c r="AB35" s="485"/>
      <c r="AC35" s="1072"/>
      <c r="AE35" s="537" t="s">
        <v>702</v>
      </c>
      <c r="AF35" s="538" t="s">
        <v>836</v>
      </c>
      <c r="AO35" s="732" t="s">
        <v>1983</v>
      </c>
      <c r="AP35" s="717"/>
      <c r="AQ35" s="717"/>
      <c r="AR35" s="717"/>
      <c r="AS35" s="731" t="s">
        <v>1983</v>
      </c>
      <c r="AT35" s="717"/>
      <c r="AU35" s="717"/>
      <c r="AV35" s="717"/>
      <c r="AW35" s="717"/>
      <c r="AX35" s="717"/>
      <c r="AY35" s="731" t="s">
        <v>1983</v>
      </c>
      <c r="AZ35" s="717"/>
      <c r="BA35" s="717"/>
      <c r="BB35" s="717"/>
      <c r="BC35" s="717"/>
      <c r="BD35" s="731" t="s">
        <v>1983</v>
      </c>
      <c r="BE35" s="717"/>
      <c r="BF35" s="731" t="s">
        <v>1983</v>
      </c>
      <c r="BG35" s="717"/>
      <c r="BH35" s="716"/>
    </row>
    <row r="36" spans="1:60" ht="15.75" customHeight="1" thickBot="1">
      <c r="A36" s="1072"/>
      <c r="B36" s="1413" t="s">
        <v>1133</v>
      </c>
      <c r="C36" s="1072"/>
      <c r="D36" s="488"/>
      <c r="E36" s="1335"/>
      <c r="F36" s="1336"/>
      <c r="G36" s="1335"/>
      <c r="H36" s="1336"/>
      <c r="I36" s="1237"/>
      <c r="J36" s="1304"/>
      <c r="K36" s="1089" t="s">
        <v>721</v>
      </c>
      <c r="L36" s="1309" t="s">
        <v>1138</v>
      </c>
      <c r="M36" s="1309"/>
      <c r="N36" s="1309"/>
      <c r="O36" s="1309"/>
      <c r="P36" s="1310"/>
      <c r="Q36" s="497"/>
      <c r="R36" s="1093" t="s">
        <v>1095</v>
      </c>
      <c r="S36" s="1080"/>
      <c r="T36" s="589">
        <f>IF($R36="ja",$S36,IF($R36="neen","0,00 m²",IF($R36="à encoder","/")))</f>
        <v>0</v>
      </c>
      <c r="U36" s="730"/>
      <c r="V36" s="555"/>
      <c r="W36" s="555"/>
      <c r="X36" s="555"/>
      <c r="Y36" s="555"/>
      <c r="Z36" s="729"/>
      <c r="AA36" s="554"/>
      <c r="AB36" s="485"/>
      <c r="AC36" s="1072"/>
      <c r="AF36" s="535" t="s">
        <v>835</v>
      </c>
      <c r="AO36" s="728" t="s">
        <v>1095</v>
      </c>
      <c r="AP36" s="717"/>
      <c r="AQ36" s="717"/>
      <c r="AR36" s="717"/>
      <c r="AS36" s="727" t="s">
        <v>1095</v>
      </c>
      <c r="AT36" s="717"/>
      <c r="AU36" s="717"/>
      <c r="AV36" s="717"/>
      <c r="AW36" s="717"/>
      <c r="AX36" s="717"/>
      <c r="AY36" s="721" t="s">
        <v>1145</v>
      </c>
      <c r="AZ36" s="717"/>
      <c r="BA36" s="717"/>
      <c r="BB36" s="717"/>
      <c r="BC36" s="717"/>
      <c r="BD36" s="721" t="s">
        <v>1978</v>
      </c>
      <c r="BE36" s="717"/>
      <c r="BF36" s="721" t="s">
        <v>1981</v>
      </c>
      <c r="BG36" s="717"/>
      <c r="BH36" s="716"/>
    </row>
    <row r="37" spans="1:60" ht="15.75" customHeight="1" thickBot="1">
      <c r="A37" s="1072"/>
      <c r="B37" s="1414"/>
      <c r="C37" s="1072"/>
      <c r="D37" s="488"/>
      <c r="E37" s="1335"/>
      <c r="F37" s="1336"/>
      <c r="G37" s="1335"/>
      <c r="H37" s="1336"/>
      <c r="I37" s="1237"/>
      <c r="J37" s="1304"/>
      <c r="K37" s="1089" t="s">
        <v>718</v>
      </c>
      <c r="L37" s="1329" t="s">
        <v>1474</v>
      </c>
      <c r="M37" s="1329"/>
      <c r="N37" s="1329"/>
      <c r="O37" s="1329"/>
      <c r="P37" s="1330"/>
      <c r="Q37" s="497"/>
      <c r="R37" s="1093" t="s">
        <v>1095</v>
      </c>
      <c r="S37" s="1080"/>
      <c r="T37" s="589">
        <f>IF($R37="ja",$S37,IF($R37="neen","0,00 m²",IF($R37="à encoder","/")))</f>
        <v>0</v>
      </c>
      <c r="U37" s="527"/>
      <c r="V37" s="726"/>
      <c r="W37" s="555"/>
      <c r="X37" s="555"/>
      <c r="Y37" s="555"/>
      <c r="Z37" s="555"/>
      <c r="AA37" s="554"/>
      <c r="AB37" s="485"/>
      <c r="AC37" s="1072"/>
      <c r="AO37" s="725" t="s">
        <v>1096</v>
      </c>
      <c r="AP37" s="717"/>
      <c r="AQ37" s="717"/>
      <c r="AR37" s="717"/>
      <c r="AS37" s="721" t="s">
        <v>1145</v>
      </c>
      <c r="AT37" s="717"/>
      <c r="AU37" s="717"/>
      <c r="AV37" s="717"/>
      <c r="AW37" s="717"/>
      <c r="AX37" s="717"/>
      <c r="AY37" s="721" t="s">
        <v>1146</v>
      </c>
      <c r="AZ37" s="717"/>
      <c r="BA37" s="717"/>
      <c r="BB37" s="717"/>
      <c r="BC37" s="717"/>
      <c r="BD37" s="721" t="s">
        <v>1979</v>
      </c>
      <c r="BE37" s="717"/>
      <c r="BF37" s="724" t="s">
        <v>1982</v>
      </c>
      <c r="BG37" s="717"/>
      <c r="BH37" s="716"/>
    </row>
    <row r="38" spans="1:60" ht="15.75" customHeight="1" thickBot="1">
      <c r="A38" s="1072"/>
      <c r="B38" s="1414"/>
      <c r="C38" s="1072"/>
      <c r="D38" s="488"/>
      <c r="E38" s="1335"/>
      <c r="F38" s="1336"/>
      <c r="G38" s="1335"/>
      <c r="H38" s="1336"/>
      <c r="I38" s="1237"/>
      <c r="J38" s="1304"/>
      <c r="K38" s="1089" t="s">
        <v>716</v>
      </c>
      <c r="L38" s="1329" t="s">
        <v>1144</v>
      </c>
      <c r="M38" s="1329"/>
      <c r="N38" s="1329"/>
      <c r="O38" s="1329"/>
      <c r="P38" s="1330"/>
      <c r="Q38" s="497"/>
      <c r="R38" s="1093" t="s">
        <v>1095</v>
      </c>
      <c r="S38" s="1080"/>
      <c r="T38" s="589">
        <f>IF($R38="ja",$S38,IF($R38="neen","0,00 m²",IF($R38="à encoder","/")))</f>
        <v>0</v>
      </c>
      <c r="U38" s="523" t="s">
        <v>665</v>
      </c>
      <c r="V38" s="523" t="s">
        <v>664</v>
      </c>
      <c r="W38" s="555"/>
      <c r="X38" s="555"/>
      <c r="Y38" s="555"/>
      <c r="Z38" s="555"/>
      <c r="AA38" s="554"/>
      <c r="AB38" s="485"/>
      <c r="AC38" s="1072"/>
      <c r="AO38" s="723"/>
      <c r="AP38" s="717"/>
      <c r="AQ38" s="717"/>
      <c r="AR38" s="717"/>
      <c r="AS38" s="721" t="s">
        <v>1146</v>
      </c>
      <c r="AT38" s="717"/>
      <c r="AU38" s="717"/>
      <c r="AV38" s="717"/>
      <c r="AW38" s="717"/>
      <c r="AX38" s="717"/>
      <c r="AY38" s="721" t="s">
        <v>1147</v>
      </c>
      <c r="AZ38" s="717"/>
      <c r="BA38" s="717"/>
      <c r="BB38" s="717"/>
      <c r="BC38" s="717"/>
      <c r="BD38" s="720" t="s">
        <v>1980</v>
      </c>
      <c r="BE38" s="717"/>
      <c r="BF38" s="722" t="s">
        <v>1984</v>
      </c>
      <c r="BG38" s="717"/>
      <c r="BH38" s="716"/>
    </row>
    <row r="39" spans="1:60" ht="15.75" customHeight="1" thickBot="1">
      <c r="A39" s="1072"/>
      <c r="B39" s="1415"/>
      <c r="C39" s="1072"/>
      <c r="D39" s="488"/>
      <c r="E39" s="1335"/>
      <c r="F39" s="1336"/>
      <c r="G39" s="1335"/>
      <c r="H39" s="1336"/>
      <c r="I39" s="1237"/>
      <c r="J39" s="1304"/>
      <c r="K39" s="1089" t="s">
        <v>714</v>
      </c>
      <c r="L39" s="1377" t="s">
        <v>1151</v>
      </c>
      <c r="M39" s="1377"/>
      <c r="N39" s="1377"/>
      <c r="O39" s="1377"/>
      <c r="P39" s="1378"/>
      <c r="Q39" s="497"/>
      <c r="R39" s="1093" t="s">
        <v>1095</v>
      </c>
      <c r="S39" s="1080"/>
      <c r="T39" s="589">
        <f>IF($R39="ja",$S39,IF($R39="neen","0,00 m²",IF($R39="à encoder","/")))</f>
        <v>0</v>
      </c>
      <c r="U39" s="573">
        <f>IF(S41="/","/",1-S41/S40)</f>
        <v>0</v>
      </c>
      <c r="V39" s="523"/>
      <c r="W39" s="555"/>
      <c r="X39" s="555"/>
      <c r="Y39" s="555"/>
      <c r="Z39" s="555"/>
      <c r="AA39" s="530" t="s">
        <v>391</v>
      </c>
      <c r="AB39" s="485"/>
      <c r="AC39" s="1072"/>
      <c r="AO39" s="719"/>
      <c r="AP39" s="717"/>
      <c r="AQ39" s="717"/>
      <c r="AR39" s="717"/>
      <c r="AS39" s="721" t="s">
        <v>1147</v>
      </c>
      <c r="AT39" s="717"/>
      <c r="AU39" s="717"/>
      <c r="AV39" s="717"/>
      <c r="AW39" s="717"/>
      <c r="AX39" s="717"/>
      <c r="AY39" s="720" t="s">
        <v>1096</v>
      </c>
      <c r="AZ39" s="717"/>
      <c r="BA39" s="717"/>
      <c r="BB39" s="717"/>
      <c r="BC39" s="717"/>
      <c r="BD39" s="717"/>
      <c r="BE39" s="717"/>
      <c r="BF39" s="717"/>
      <c r="BG39" s="717"/>
      <c r="BH39" s="716"/>
    </row>
    <row r="40" spans="1:60" ht="15.75" customHeight="1" thickBot="1">
      <c r="A40" s="1072"/>
      <c r="B40" s="1072"/>
      <c r="C40" s="1072"/>
      <c r="D40" s="488"/>
      <c r="E40" s="1337"/>
      <c r="F40" s="1338"/>
      <c r="G40" s="1337"/>
      <c r="H40" s="1338"/>
      <c r="I40" s="1272"/>
      <c r="J40" s="1305"/>
      <c r="K40" s="1090" t="s">
        <v>713</v>
      </c>
      <c r="L40" s="1331" t="s">
        <v>1152</v>
      </c>
      <c r="M40" s="1331"/>
      <c r="N40" s="1331"/>
      <c r="O40" s="1331"/>
      <c r="P40" s="1332"/>
      <c r="Q40" s="497"/>
      <c r="R40" s="572"/>
      <c r="S40" s="678">
        <f>O23</f>
        <v>800</v>
      </c>
      <c r="T40" s="527">
        <f>S40</f>
        <v>800</v>
      </c>
      <c r="U40" s="686">
        <f>IF(U39="/","/",IF(ISERROR(U39)=TRUE,"/",IF(U39&lt;=100%,U39,"FAUX")))</f>
        <v>0</v>
      </c>
      <c r="V40" s="524" t="str">
        <f>IF(R35="à encoder","/",R35)</f>
        <v>ja</v>
      </c>
      <c r="W40" s="555"/>
      <c r="X40" s="555"/>
      <c r="Y40" s="555"/>
      <c r="Z40" s="555"/>
      <c r="AA40" s="522">
        <f>IF(OR(U40="/",V40="/"),"/",IF(U40&gt;100%,"/",IF(AND(($V40="ja"),($U40&gt;=90%)),"4",IF(AND(($V40="ja"),($U40&gt;=60%)),"3",IF(($U40&gt;=30%),"2",IF(($U40&gt;=10%),"1",0))))))</f>
        <v>0</v>
      </c>
      <c r="AB40" s="485"/>
      <c r="AC40" s="1072"/>
      <c r="AO40" s="719"/>
      <c r="AP40" s="717"/>
      <c r="AQ40" s="717"/>
      <c r="AR40" s="717"/>
      <c r="AS40" s="720" t="s">
        <v>1096</v>
      </c>
      <c r="AT40" s="717"/>
      <c r="AU40" s="717"/>
      <c r="AV40" s="717"/>
      <c r="AW40" s="717"/>
      <c r="AX40" s="717"/>
      <c r="AY40" s="717"/>
      <c r="AZ40" s="717"/>
      <c r="BA40" s="717"/>
      <c r="BB40" s="717"/>
      <c r="BC40" s="717"/>
      <c r="BD40" s="717"/>
      <c r="BE40" s="717"/>
      <c r="BF40" s="717"/>
      <c r="BG40" s="717"/>
      <c r="BH40" s="716"/>
    </row>
    <row r="41" spans="1:60" ht="15.75" customHeight="1" thickBot="1">
      <c r="A41" s="1072"/>
      <c r="B41" s="1072"/>
      <c r="C41" s="1072"/>
      <c r="D41" s="488"/>
      <c r="E41" s="1333" t="s">
        <v>672</v>
      </c>
      <c r="F41" s="1334"/>
      <c r="G41" s="1333" t="s">
        <v>672</v>
      </c>
      <c r="H41" s="1334"/>
      <c r="I41" s="1236" t="s">
        <v>834</v>
      </c>
      <c r="J41" s="1086" t="s">
        <v>1127</v>
      </c>
      <c r="K41" s="1311" t="s">
        <v>1153</v>
      </c>
      <c r="L41" s="1312"/>
      <c r="M41" s="1091" t="s">
        <v>641</v>
      </c>
      <c r="N41" s="1091" t="s">
        <v>639</v>
      </c>
      <c r="O41" s="1091" t="s">
        <v>638</v>
      </c>
      <c r="P41" s="1092" t="s">
        <v>636</v>
      </c>
      <c r="Q41" s="497"/>
      <c r="R41" s="675" t="s">
        <v>708</v>
      </c>
      <c r="S41" s="585">
        <f>IF(OR(R36="à encoder",R37="à encoder",R38="à encoder",R39="à encoder"),"/",S40-SUMIF(R36:R39,"ja",S36:S39))</f>
        <v>800</v>
      </c>
      <c r="T41" s="564"/>
      <c r="U41" s="706" t="s">
        <v>1470</v>
      </c>
      <c r="V41" s="706" t="s">
        <v>1475</v>
      </c>
      <c r="W41" s="584"/>
      <c r="X41" s="584"/>
      <c r="Y41" s="584"/>
      <c r="Z41" s="584"/>
      <c r="AA41" s="583"/>
      <c r="AB41" s="485"/>
      <c r="AC41" s="1072"/>
      <c r="AO41" s="719"/>
      <c r="AP41" s="717"/>
      <c r="AQ41" s="717"/>
      <c r="AR41" s="717"/>
      <c r="AS41" s="718"/>
      <c r="AT41" s="717"/>
      <c r="AU41" s="717"/>
      <c r="AV41" s="717"/>
      <c r="AW41" s="717"/>
      <c r="AX41" s="717"/>
      <c r="AY41" s="718"/>
      <c r="AZ41" s="717"/>
      <c r="BA41" s="717"/>
      <c r="BB41" s="717"/>
      <c r="BC41" s="717"/>
      <c r="BD41" s="717"/>
      <c r="BE41" s="717"/>
      <c r="BF41" s="717"/>
      <c r="BG41" s="717"/>
      <c r="BH41" s="716"/>
    </row>
    <row r="42" spans="1:60" ht="66.75" thickBot="1">
      <c r="A42" s="1072"/>
      <c r="B42" s="1072"/>
      <c r="C42" s="1072"/>
      <c r="D42" s="488"/>
      <c r="E42" s="1335"/>
      <c r="F42" s="1336"/>
      <c r="G42" s="1335"/>
      <c r="H42" s="1336"/>
      <c r="I42" s="1237"/>
      <c r="J42" s="1087" t="s">
        <v>1135</v>
      </c>
      <c r="K42" s="1160" t="s">
        <v>1154</v>
      </c>
      <c r="L42" s="1161"/>
      <c r="M42" s="715" t="s">
        <v>1156</v>
      </c>
      <c r="N42" s="715" t="s">
        <v>1157</v>
      </c>
      <c r="O42" s="715" t="s">
        <v>1158</v>
      </c>
      <c r="P42" s="715" t="s">
        <v>1159</v>
      </c>
      <c r="Q42" s="497"/>
      <c r="R42" s="496"/>
      <c r="S42" s="497"/>
      <c r="T42" s="496"/>
      <c r="U42" s="496"/>
      <c r="V42" s="497"/>
      <c r="W42" s="497"/>
      <c r="X42" s="497"/>
      <c r="Y42" s="497"/>
      <c r="Z42" s="497"/>
      <c r="AA42" s="497"/>
      <c r="AB42" s="485"/>
      <c r="AC42" s="1072"/>
      <c r="AN42" s="711"/>
      <c r="AO42" s="714"/>
      <c r="AP42" s="713"/>
      <c r="AQ42" s="713"/>
      <c r="AR42" s="713"/>
      <c r="AS42" s="713"/>
      <c r="AT42" s="713"/>
      <c r="AU42" s="713"/>
      <c r="AV42" s="713"/>
      <c r="AW42" s="713"/>
      <c r="AX42" s="713"/>
      <c r="AY42" s="713"/>
      <c r="AZ42" s="713"/>
      <c r="BA42" s="713"/>
      <c r="BB42" s="713"/>
      <c r="BC42" s="713"/>
      <c r="BD42" s="713"/>
      <c r="BE42" s="713"/>
      <c r="BF42" s="713"/>
      <c r="BG42" s="713"/>
      <c r="BH42" s="712"/>
    </row>
    <row r="43" spans="1:60" ht="15.75" thickBot="1">
      <c r="A43" s="1072"/>
      <c r="B43" s="1072"/>
      <c r="C43" s="1072"/>
      <c r="D43" s="488"/>
      <c r="E43" s="1335"/>
      <c r="F43" s="1336"/>
      <c r="G43" s="1335"/>
      <c r="H43" s="1336"/>
      <c r="I43" s="1238"/>
      <c r="J43" s="1303" t="s">
        <v>1132</v>
      </c>
      <c r="K43" s="1088" t="s">
        <v>833</v>
      </c>
      <c r="L43" s="1300" t="s">
        <v>1160</v>
      </c>
      <c r="M43" s="1301"/>
      <c r="N43" s="1301"/>
      <c r="O43" s="1301"/>
      <c r="P43" s="1302"/>
      <c r="Q43" s="497"/>
      <c r="R43" s="1094" t="s">
        <v>1095</v>
      </c>
      <c r="S43" s="543"/>
      <c r="T43" s="542">
        <f>IF($R43="ja",1,IF($R43="neen",0,IF($R43="ja&gt;75%",0.75,IF($R43="ja&gt;50%",0.5,IF($R43="ja&gt;25%",0.25,IF($R43="à encoder","/"))))))</f>
        <v>1</v>
      </c>
      <c r="U43" s="693"/>
      <c r="V43" s="541"/>
      <c r="W43" s="541"/>
      <c r="X43" s="541"/>
      <c r="Y43" s="541"/>
      <c r="Z43" s="541"/>
      <c r="AA43" s="539"/>
      <c r="AB43" s="485"/>
      <c r="AC43" s="1072"/>
      <c r="AN43" s="711"/>
    </row>
    <row r="44" spans="1:60" ht="15.75" thickBot="1">
      <c r="A44" s="1072"/>
      <c r="B44" s="1072"/>
      <c r="C44" s="1072"/>
      <c r="D44" s="488"/>
      <c r="E44" s="1335"/>
      <c r="F44" s="1336"/>
      <c r="G44" s="1335"/>
      <c r="H44" s="1336"/>
      <c r="I44" s="1238"/>
      <c r="J44" s="1304"/>
      <c r="K44" s="1089" t="s">
        <v>832</v>
      </c>
      <c r="L44" s="1230" t="s">
        <v>1161</v>
      </c>
      <c r="M44" s="1231"/>
      <c r="N44" s="1231"/>
      <c r="O44" s="1231"/>
      <c r="P44" s="1232"/>
      <c r="Q44" s="497"/>
      <c r="R44" s="1094" t="s">
        <v>1095</v>
      </c>
      <c r="S44" s="534"/>
      <c r="T44" s="533">
        <f>IF($R44="ja",1,IF($R44="neen",0,IF($R44="ja&gt;75%",0.75,IF($R44="ja&gt;50%",0.5,IF($R44="ja&gt;25%",0.25,IF($R44="à encoder","/"))))))</f>
        <v>1</v>
      </c>
      <c r="U44" s="689"/>
      <c r="V44" s="523"/>
      <c r="W44" s="523"/>
      <c r="X44" s="523"/>
      <c r="Y44" s="523"/>
      <c r="Z44" s="523"/>
      <c r="AA44" s="536"/>
      <c r="AB44" s="485"/>
      <c r="AC44" s="1072"/>
      <c r="AN44" s="711"/>
    </row>
    <row r="45" spans="1:60" ht="15.75" thickBot="1">
      <c r="A45" s="1072"/>
      <c r="B45" s="1072"/>
      <c r="C45" s="1072"/>
      <c r="D45" s="488"/>
      <c r="E45" s="1335"/>
      <c r="F45" s="1336"/>
      <c r="G45" s="1335"/>
      <c r="H45" s="1336"/>
      <c r="I45" s="1238"/>
      <c r="J45" s="1304"/>
      <c r="K45" s="1089" t="s">
        <v>831</v>
      </c>
      <c r="L45" s="1230" t="s">
        <v>1162</v>
      </c>
      <c r="M45" s="1231"/>
      <c r="N45" s="1231"/>
      <c r="O45" s="1231"/>
      <c r="P45" s="1232"/>
      <c r="Q45" s="497"/>
      <c r="R45" s="1094" t="s">
        <v>1095</v>
      </c>
      <c r="S45" s="534"/>
      <c r="T45" s="533">
        <f>IF($R45="ja",1,IF($R45="neen",0,IF($R45="ja&gt;75%",0.75,IF($R45="ja&gt;50%",0.5,IF($R45="ja&gt;25%",0.25,IF($R45="à encoder","/"))))))</f>
        <v>1</v>
      </c>
      <c r="U45" s="689"/>
      <c r="V45" s="523"/>
      <c r="W45" s="523"/>
      <c r="X45" s="523"/>
      <c r="Y45" s="523"/>
      <c r="Z45" s="523"/>
      <c r="AA45" s="536"/>
      <c r="AB45" s="485"/>
      <c r="AC45" s="1072"/>
      <c r="AN45" s="711"/>
    </row>
    <row r="46" spans="1:60" ht="15.75" thickBot="1">
      <c r="A46" s="1072"/>
      <c r="B46" s="1072"/>
      <c r="C46" s="1072"/>
      <c r="D46" s="488"/>
      <c r="E46" s="1335"/>
      <c r="F46" s="1336"/>
      <c r="G46" s="1335"/>
      <c r="H46" s="1336"/>
      <c r="I46" s="1238"/>
      <c r="J46" s="1304"/>
      <c r="K46" s="1089" t="s">
        <v>830</v>
      </c>
      <c r="L46" s="1248" t="s">
        <v>1476</v>
      </c>
      <c r="M46" s="1249"/>
      <c r="N46" s="1249"/>
      <c r="O46" s="1249"/>
      <c r="P46" s="1250"/>
      <c r="Q46" s="497"/>
      <c r="R46" s="1093" t="s">
        <v>1095</v>
      </c>
      <c r="S46" s="528"/>
      <c r="T46" s="528"/>
      <c r="U46" s="528"/>
      <c r="V46" s="523"/>
      <c r="W46" s="523"/>
      <c r="X46" s="523"/>
      <c r="Y46" s="523"/>
      <c r="Z46" s="523"/>
      <c r="AA46" s="530"/>
      <c r="AB46" s="485"/>
      <c r="AC46" s="1072"/>
      <c r="AN46" s="711"/>
    </row>
    <row r="47" spans="1:60" ht="15.75" thickBot="1">
      <c r="A47" s="1072"/>
      <c r="B47" s="1072"/>
      <c r="C47" s="1072"/>
      <c r="D47" s="488"/>
      <c r="E47" s="1337"/>
      <c r="F47" s="1338"/>
      <c r="G47" s="1337"/>
      <c r="H47" s="1338"/>
      <c r="I47" s="1239"/>
      <c r="J47" s="1304"/>
      <c r="K47" s="1089" t="s">
        <v>829</v>
      </c>
      <c r="L47" s="1230" t="s">
        <v>1163</v>
      </c>
      <c r="M47" s="1231"/>
      <c r="N47" s="1231"/>
      <c r="O47" s="1231"/>
      <c r="P47" s="1232"/>
      <c r="Q47" s="497"/>
      <c r="R47" s="1093" t="s">
        <v>1095</v>
      </c>
      <c r="S47" s="528"/>
      <c r="T47" s="527"/>
      <c r="U47" s="531" t="s">
        <v>665</v>
      </c>
      <c r="V47" s="523" t="s">
        <v>664</v>
      </c>
      <c r="W47" s="523" t="s">
        <v>663</v>
      </c>
      <c r="X47" s="523"/>
      <c r="Y47" s="523"/>
      <c r="Z47" s="523"/>
      <c r="AA47" s="530" t="s">
        <v>391</v>
      </c>
      <c r="AB47" s="485"/>
      <c r="AC47" s="1072"/>
      <c r="AN47" s="711"/>
    </row>
    <row r="48" spans="1:60" ht="15.75" customHeight="1" thickBot="1">
      <c r="A48" s="1072"/>
      <c r="B48" s="1072"/>
      <c r="C48" s="1072"/>
      <c r="D48" s="488"/>
      <c r="E48" s="1375" t="s">
        <v>1121</v>
      </c>
      <c r="F48" s="1376"/>
      <c r="G48" s="1375" t="s">
        <v>1122</v>
      </c>
      <c r="H48" s="1376"/>
      <c r="I48" s="1122" t="s">
        <v>726</v>
      </c>
      <c r="J48" s="1367" t="s">
        <v>1164</v>
      </c>
      <c r="K48" s="1368"/>
      <c r="L48" s="1368"/>
      <c r="M48" s="1368"/>
      <c r="N48" s="1368"/>
      <c r="O48" s="1368"/>
      <c r="P48" s="1369"/>
      <c r="Q48" s="497"/>
      <c r="R48" s="543"/>
      <c r="S48" s="528"/>
      <c r="T48" s="528"/>
      <c r="U48" s="526">
        <f>IF(OR(T43="/",T44="/",T45="/"),"/",SUM(T43:T45)/3)</f>
        <v>1</v>
      </c>
      <c r="V48" s="524" t="str">
        <f>IF(R46="à encoder","/",R46)</f>
        <v>ja</v>
      </c>
      <c r="W48" s="524" t="str">
        <f>IF(R47="à encoder","/",R47)</f>
        <v>ja</v>
      </c>
      <c r="X48" s="523"/>
      <c r="Y48" s="523"/>
      <c r="Z48" s="523"/>
      <c r="AA48" s="522" t="str">
        <f>IF(OR(U48="/",V48="/",W48="/"),"/",IF(AND((W48="ja"),($V48="ja"),($U48&gt;=90%)),"4",IF(AND((W48="ja"),($V48="ja"),($U48&gt;=60%)),"3",IF(AND(($V48="ja"),($U48&gt;=30%)),"2",IF(($U48&gt;=10%),"1",0)))))</f>
        <v>4</v>
      </c>
      <c r="AB48" s="485"/>
      <c r="AC48" s="1072"/>
    </row>
    <row r="49" spans="1:35" ht="23.25" thickBot="1">
      <c r="A49" s="1072"/>
      <c r="B49" s="1072"/>
      <c r="C49" s="1072"/>
      <c r="D49" s="488"/>
      <c r="E49" s="1333" t="s">
        <v>672</v>
      </c>
      <c r="F49" s="1334"/>
      <c r="G49" s="1333" t="s">
        <v>672</v>
      </c>
      <c r="H49" s="1334"/>
      <c r="I49" s="1236" t="s">
        <v>725</v>
      </c>
      <c r="J49" s="1086" t="s">
        <v>1127</v>
      </c>
      <c r="K49" s="1311" t="s">
        <v>1228</v>
      </c>
      <c r="L49" s="1312"/>
      <c r="M49" s="1091" t="s">
        <v>641</v>
      </c>
      <c r="N49" s="1091" t="s">
        <v>639</v>
      </c>
      <c r="O49" s="1091" t="s">
        <v>638</v>
      </c>
      <c r="P49" s="1092" t="s">
        <v>636</v>
      </c>
      <c r="Q49" s="497"/>
      <c r="R49" s="521"/>
      <c r="S49" s="520"/>
      <c r="T49" s="520"/>
      <c r="U49" s="519" t="s">
        <v>1234</v>
      </c>
      <c r="V49" s="519" t="s">
        <v>1235</v>
      </c>
      <c r="W49" s="519" t="s">
        <v>1236</v>
      </c>
      <c r="X49" s="520"/>
      <c r="Y49" s="520"/>
      <c r="Z49" s="519"/>
      <c r="AA49" s="518"/>
      <c r="AB49" s="485"/>
      <c r="AC49" s="1072"/>
    </row>
    <row r="50" spans="1:35" ht="129.75" customHeight="1" thickBot="1">
      <c r="A50" s="1072"/>
      <c r="B50" s="1072"/>
      <c r="C50" s="1072"/>
      <c r="D50" s="488"/>
      <c r="E50" s="1335"/>
      <c r="F50" s="1336"/>
      <c r="G50" s="1335"/>
      <c r="H50" s="1336"/>
      <c r="I50" s="1237"/>
      <c r="J50" s="1087" t="s">
        <v>1135</v>
      </c>
      <c r="K50" s="1227" t="s">
        <v>1229</v>
      </c>
      <c r="L50" s="1161"/>
      <c r="M50" s="710" t="s">
        <v>1230</v>
      </c>
      <c r="N50" s="710" t="s">
        <v>1231</v>
      </c>
      <c r="O50" s="691" t="s">
        <v>1232</v>
      </c>
      <c r="P50" s="691" t="s">
        <v>1233</v>
      </c>
      <c r="Q50" s="497"/>
      <c r="R50" s="496"/>
      <c r="S50" s="497"/>
      <c r="T50" s="496"/>
      <c r="U50" s="496"/>
      <c r="V50" s="497"/>
      <c r="W50" s="497"/>
      <c r="X50" s="497"/>
      <c r="Y50" s="497"/>
      <c r="Z50" s="497"/>
      <c r="AA50" s="497"/>
      <c r="AB50" s="485"/>
      <c r="AC50" s="1072"/>
    </row>
    <row r="51" spans="1:35" ht="15.75" customHeight="1" thickBot="1">
      <c r="A51" s="1072"/>
      <c r="B51" s="1072"/>
      <c r="C51" s="1072"/>
      <c r="D51" s="488"/>
      <c r="E51" s="1335"/>
      <c r="F51" s="1336"/>
      <c r="G51" s="1335"/>
      <c r="H51" s="1336"/>
      <c r="I51" s="1237"/>
      <c r="J51" s="1303" t="s">
        <v>1132</v>
      </c>
      <c r="K51" s="1088" t="s">
        <v>828</v>
      </c>
      <c r="L51" s="1228" t="s">
        <v>1237</v>
      </c>
      <c r="M51" s="1228"/>
      <c r="N51" s="1228"/>
      <c r="O51" s="1228"/>
      <c r="P51" s="1229"/>
      <c r="Q51" s="497"/>
      <c r="R51" s="1093" t="s">
        <v>1095</v>
      </c>
      <c r="S51" s="1096"/>
      <c r="T51" s="596">
        <f>IF($R51="ja",$S51,IF($R51="neen","0,00 m²",IF($R51="à encoder","/")))</f>
        <v>0</v>
      </c>
      <c r="U51" s="596">
        <f>IF($R51="ja",$S51,IF($R51="neen","0,00 m²",IF($R51="à encoder","/")))</f>
        <v>0</v>
      </c>
      <c r="V51" s="596">
        <f>IF($R51="ja",$S51,IF($R51="neen","0,00 m²",IF($R51="à encoder","/")))</f>
        <v>0</v>
      </c>
      <c r="W51" s="1200" t="str">
        <f>IF(SUM(T51:T55)&gt;(M17-M19),"Surface totale de façade plus grande que la surface encodée dans les caractéristiques physiques du bâtiment","")</f>
        <v/>
      </c>
      <c r="X51" s="1200"/>
      <c r="Y51" s="1200"/>
      <c r="Z51" s="1200"/>
      <c r="AA51" s="1156">
        <f>SUM(T51:T55)/(M17-M19)</f>
        <v>0</v>
      </c>
      <c r="AB51" s="641"/>
      <c r="AC51" s="1072"/>
      <c r="AE51" s="537" t="s">
        <v>702</v>
      </c>
      <c r="AF51" s="538" t="s">
        <v>817</v>
      </c>
      <c r="AH51" s="537" t="s">
        <v>722</v>
      </c>
      <c r="AI51" s="538" t="s">
        <v>1481</v>
      </c>
    </row>
    <row r="52" spans="1:35" ht="15.75" customHeight="1" thickBot="1">
      <c r="A52" s="1072"/>
      <c r="B52" s="1072"/>
      <c r="C52" s="1072"/>
      <c r="D52" s="488"/>
      <c r="E52" s="1335"/>
      <c r="F52" s="1336"/>
      <c r="G52" s="1335"/>
      <c r="H52" s="1336"/>
      <c r="I52" s="1237"/>
      <c r="J52" s="1304"/>
      <c r="K52" s="1089" t="s">
        <v>827</v>
      </c>
      <c r="L52" s="1231" t="s">
        <v>1238</v>
      </c>
      <c r="M52" s="1231"/>
      <c r="N52" s="1231"/>
      <c r="O52" s="1231"/>
      <c r="P52" s="1232"/>
      <c r="Q52" s="497"/>
      <c r="R52" s="1093" t="s">
        <v>1096</v>
      </c>
      <c r="S52" s="687"/>
      <c r="T52" s="589" t="str">
        <f t="shared" ref="T52:T61" si="0">IF($R52="ja",$S52,IF($R52="neen","0,00 m²",IF($R52="à encoder","/")))</f>
        <v>0,00 m²</v>
      </c>
      <c r="U52" s="589" t="str">
        <f>IF($R52="ja",$S52*0,IF($R52="neen","0,00 m²",IF($R52="à encoder","/")))</f>
        <v>0,00 m²</v>
      </c>
      <c r="V52" s="589" t="str">
        <f>IF($R52="ja",$S52*0,IF($R52="neen","0,00 m²",IF($R52="à encoder","/")))</f>
        <v>0,00 m²</v>
      </c>
      <c r="W52" s="1201"/>
      <c r="X52" s="1201"/>
      <c r="Y52" s="1201"/>
      <c r="Z52" s="1201"/>
      <c r="AA52" s="1157"/>
      <c r="AB52" s="641"/>
      <c r="AC52" s="1072"/>
      <c r="AF52" s="688" t="s">
        <v>817</v>
      </c>
      <c r="AI52" s="688" t="s">
        <v>1482</v>
      </c>
    </row>
    <row r="53" spans="1:35" ht="15.75" customHeight="1" thickBot="1">
      <c r="A53" s="1072"/>
      <c r="B53" s="1072"/>
      <c r="C53" s="1072"/>
      <c r="D53" s="488"/>
      <c r="E53" s="1335"/>
      <c r="F53" s="1336"/>
      <c r="G53" s="1335"/>
      <c r="H53" s="1336"/>
      <c r="I53" s="1237"/>
      <c r="J53" s="1304"/>
      <c r="K53" s="1089" t="s">
        <v>826</v>
      </c>
      <c r="L53" s="1231" t="s">
        <v>1239</v>
      </c>
      <c r="M53" s="1231"/>
      <c r="N53" s="1231"/>
      <c r="O53" s="1231"/>
      <c r="P53" s="1232"/>
      <c r="Q53" s="497"/>
      <c r="R53" s="1093" t="s">
        <v>1096</v>
      </c>
      <c r="S53" s="687"/>
      <c r="T53" s="589" t="str">
        <f t="shared" si="0"/>
        <v>0,00 m²</v>
      </c>
      <c r="U53" s="589" t="str">
        <f>IF($R53="ja",$S53,IF($R53="neen","0,00 m²",IF($R53="à encoder","/")))</f>
        <v>0,00 m²</v>
      </c>
      <c r="V53" s="589" t="str">
        <f>IF($R53="ja",$S53,IF($R53="neen","0,00 m²",IF($R53="à encoder","/")))</f>
        <v>0,00 m²</v>
      </c>
      <c r="W53" s="1201"/>
      <c r="X53" s="1201"/>
      <c r="Y53" s="1201"/>
      <c r="Z53" s="1201"/>
      <c r="AA53" s="1157"/>
      <c r="AB53" s="641"/>
      <c r="AC53" s="1095"/>
      <c r="AF53" s="538" t="s">
        <v>817</v>
      </c>
      <c r="AI53" s="538" t="s">
        <v>1481</v>
      </c>
    </row>
    <row r="54" spans="1:35" ht="15.75" customHeight="1" thickBot="1">
      <c r="A54" s="1072"/>
      <c r="B54" s="1072"/>
      <c r="C54" s="1072"/>
      <c r="D54" s="488"/>
      <c r="E54" s="1335"/>
      <c r="F54" s="1336"/>
      <c r="G54" s="1335"/>
      <c r="H54" s="1336"/>
      <c r="I54" s="1237"/>
      <c r="J54" s="1304"/>
      <c r="K54" s="1089" t="s">
        <v>825</v>
      </c>
      <c r="L54" s="1231" t="s">
        <v>1240</v>
      </c>
      <c r="M54" s="1231"/>
      <c r="N54" s="1231"/>
      <c r="O54" s="1231"/>
      <c r="P54" s="1232"/>
      <c r="Q54" s="497"/>
      <c r="R54" s="1093" t="s">
        <v>1096</v>
      </c>
      <c r="S54" s="687"/>
      <c r="T54" s="589" t="str">
        <f t="shared" si="0"/>
        <v>0,00 m²</v>
      </c>
      <c r="U54" s="589" t="str">
        <f>IF($R54="ja",$S54*0,IF($R54="neen","0,00 m²",IF($R54="à encoder","/")))</f>
        <v>0,00 m²</v>
      </c>
      <c r="V54" s="589" t="str">
        <f>IF($R54="ja",$S54,IF($R54="neen","0,00 m²",IF($R54="à encoder","/")))</f>
        <v>0,00 m²</v>
      </c>
      <c r="W54" s="1201"/>
      <c r="X54" s="1201"/>
      <c r="Y54" s="1201"/>
      <c r="Z54" s="1201"/>
      <c r="AA54" s="1157"/>
      <c r="AB54" s="641"/>
      <c r="AC54" s="1072"/>
      <c r="AF54" s="688" t="s">
        <v>817</v>
      </c>
      <c r="AI54" s="538" t="s">
        <v>1481</v>
      </c>
    </row>
    <row r="55" spans="1:35" ht="15.75" customHeight="1" thickBot="1">
      <c r="A55" s="1072"/>
      <c r="B55" s="1072"/>
      <c r="C55" s="1072"/>
      <c r="D55" s="488"/>
      <c r="E55" s="1335"/>
      <c r="F55" s="1336"/>
      <c r="G55" s="1335"/>
      <c r="H55" s="1336"/>
      <c r="I55" s="1237"/>
      <c r="J55" s="1304"/>
      <c r="K55" s="1089" t="s">
        <v>824</v>
      </c>
      <c r="L55" s="1231" t="s">
        <v>1241</v>
      </c>
      <c r="M55" s="1231"/>
      <c r="N55" s="1231"/>
      <c r="O55" s="1231"/>
      <c r="P55" s="1232"/>
      <c r="Q55" s="497"/>
      <c r="R55" s="1093" t="s">
        <v>1096</v>
      </c>
      <c r="S55" s="687"/>
      <c r="T55" s="589" t="str">
        <f t="shared" si="0"/>
        <v>0,00 m²</v>
      </c>
      <c r="U55" s="589" t="str">
        <f>IF($R55="ja",$S55*0,IF($R55="neen","0,00 m²",IF($R55="à encoder","/")))</f>
        <v>0,00 m²</v>
      </c>
      <c r="V55" s="589" t="str">
        <f>IF($R55="ja",$S55*0,IF($R55="neen","0,00 m²",IF($R55="à encoder","/")))</f>
        <v>0,00 m²</v>
      </c>
      <c r="W55" s="1201"/>
      <c r="X55" s="1201"/>
      <c r="Y55" s="1201"/>
      <c r="Z55" s="1201"/>
      <c r="AA55" s="1157"/>
      <c r="AB55" s="641"/>
      <c r="AC55" s="1072"/>
      <c r="AF55" s="688" t="s">
        <v>817</v>
      </c>
      <c r="AI55" s="688" t="s">
        <v>1482</v>
      </c>
    </row>
    <row r="56" spans="1:35" ht="15.75" customHeight="1" thickBot="1">
      <c r="A56" s="1072"/>
      <c r="B56" s="1072"/>
      <c r="C56" s="1072"/>
      <c r="D56" s="488"/>
      <c r="E56" s="1335"/>
      <c r="F56" s="1336"/>
      <c r="G56" s="1335"/>
      <c r="H56" s="1336"/>
      <c r="I56" s="1237"/>
      <c r="J56" s="1304"/>
      <c r="K56" s="1089" t="s">
        <v>823</v>
      </c>
      <c r="L56" s="1231" t="s">
        <v>1242</v>
      </c>
      <c r="M56" s="1231"/>
      <c r="N56" s="1231"/>
      <c r="O56" s="1231"/>
      <c r="P56" s="1232"/>
      <c r="Q56" s="497"/>
      <c r="R56" s="1093" t="s">
        <v>1095</v>
      </c>
      <c r="S56" s="687"/>
      <c r="T56" s="589">
        <f t="shared" si="0"/>
        <v>0</v>
      </c>
      <c r="U56" s="589">
        <f>IF($R56="ja",$S56*0,IF($R56="neen","0,00 m²",IF($R56="à encoder","/")))</f>
        <v>0</v>
      </c>
      <c r="V56" s="589">
        <f>IF($R56="ja",$S56*0,IF($R56="neen","0,00 m²",IF($R56="à encoder","/")))</f>
        <v>0</v>
      </c>
      <c r="W56" s="1201" t="str">
        <f>IF(SUM(T56:T59)&gt;M15,"Surface totale de toiture plus grande que la surface encodée dans les caractéristiques physiques du bâtiment","")</f>
        <v/>
      </c>
      <c r="X56" s="1201"/>
      <c r="Y56" s="1201"/>
      <c r="Z56" s="1201"/>
      <c r="AA56" s="1157">
        <f>SUM(T56:T59)/(M15)</f>
        <v>0</v>
      </c>
      <c r="AB56" s="641"/>
      <c r="AC56" s="1072"/>
      <c r="AF56" s="688" t="s">
        <v>817</v>
      </c>
      <c r="AI56" s="688" t="s">
        <v>1482</v>
      </c>
    </row>
    <row r="57" spans="1:35" ht="15.75" customHeight="1" thickBot="1">
      <c r="A57" s="1072"/>
      <c r="B57" s="1072"/>
      <c r="C57" s="1072"/>
      <c r="D57" s="488"/>
      <c r="E57" s="1335"/>
      <c r="F57" s="1336"/>
      <c r="G57" s="1335"/>
      <c r="H57" s="1336"/>
      <c r="I57" s="1237"/>
      <c r="J57" s="1304"/>
      <c r="K57" s="1089" t="s">
        <v>822</v>
      </c>
      <c r="L57" s="1231" t="s">
        <v>1243</v>
      </c>
      <c r="M57" s="1231"/>
      <c r="N57" s="1231"/>
      <c r="O57" s="1231"/>
      <c r="P57" s="1232"/>
      <c r="Q57" s="497"/>
      <c r="R57" s="1093" t="s">
        <v>1096</v>
      </c>
      <c r="S57" s="687"/>
      <c r="T57" s="589" t="str">
        <f t="shared" si="0"/>
        <v>0,00 m²</v>
      </c>
      <c r="U57" s="589" t="str">
        <f>IF($R57="ja",$S57,IF($R57="neen","0,00 m²",IF($R57="à encoder","/")))</f>
        <v>0,00 m²</v>
      </c>
      <c r="V57" s="589" t="str">
        <f>IF($R57="ja",$S57*0,IF($R57="neen","0,00 m²",IF($R57="à encoder","/")))</f>
        <v>0,00 m²</v>
      </c>
      <c r="W57" s="1201"/>
      <c r="X57" s="1201"/>
      <c r="Y57" s="1201"/>
      <c r="Z57" s="1201"/>
      <c r="AA57" s="1157"/>
      <c r="AB57" s="641"/>
      <c r="AC57" s="1072"/>
      <c r="AF57" s="538" t="s">
        <v>817</v>
      </c>
      <c r="AI57" s="688" t="s">
        <v>1482</v>
      </c>
    </row>
    <row r="58" spans="1:35" ht="15.75" customHeight="1" thickBot="1">
      <c r="A58" s="1072"/>
      <c r="B58" s="1072"/>
      <c r="C58" s="1072"/>
      <c r="D58" s="488"/>
      <c r="E58" s="1335"/>
      <c r="F58" s="1336"/>
      <c r="G58" s="1335"/>
      <c r="H58" s="1336"/>
      <c r="I58" s="1237"/>
      <c r="J58" s="1304"/>
      <c r="K58" s="1089" t="s">
        <v>821</v>
      </c>
      <c r="L58" s="1231" t="s">
        <v>1244</v>
      </c>
      <c r="M58" s="1231"/>
      <c r="N58" s="1231"/>
      <c r="O58" s="1231"/>
      <c r="P58" s="1232"/>
      <c r="Q58" s="497"/>
      <c r="R58" s="1093" t="s">
        <v>1096</v>
      </c>
      <c r="S58" s="687"/>
      <c r="T58" s="589" t="str">
        <f t="shared" si="0"/>
        <v>0,00 m²</v>
      </c>
      <c r="U58" s="589" t="str">
        <f>IF($R58="ja",$S58,IF($R58="neen","0,00 m²",IF($R58="à encoder","/")))</f>
        <v>0,00 m²</v>
      </c>
      <c r="V58" s="589" t="str">
        <f>IF($R58="ja",$S58,IF($R58="neen","0,00 m²",IF($R58="à encoder","/")))</f>
        <v>0,00 m²</v>
      </c>
      <c r="W58" s="1201"/>
      <c r="X58" s="1201"/>
      <c r="Y58" s="1201"/>
      <c r="Z58" s="1201"/>
      <c r="AA58" s="1157"/>
      <c r="AB58" s="641"/>
      <c r="AC58" s="1072"/>
      <c r="AF58" s="538" t="s">
        <v>817</v>
      </c>
      <c r="AI58" s="538" t="s">
        <v>1481</v>
      </c>
    </row>
    <row r="59" spans="1:35" ht="15.75" customHeight="1" thickBot="1">
      <c r="A59" s="1072"/>
      <c r="B59" s="1072"/>
      <c r="C59" s="1072"/>
      <c r="D59" s="488"/>
      <c r="E59" s="1335"/>
      <c r="F59" s="1336"/>
      <c r="G59" s="1335"/>
      <c r="H59" s="1336"/>
      <c r="I59" s="1237"/>
      <c r="J59" s="1304"/>
      <c r="K59" s="1089" t="s">
        <v>820</v>
      </c>
      <c r="L59" s="1231" t="s">
        <v>1245</v>
      </c>
      <c r="M59" s="1231"/>
      <c r="N59" s="1231"/>
      <c r="O59" s="1231"/>
      <c r="P59" s="1232"/>
      <c r="Q59" s="497"/>
      <c r="R59" s="1093" t="s">
        <v>1096</v>
      </c>
      <c r="S59" s="687"/>
      <c r="T59" s="589" t="str">
        <f t="shared" si="0"/>
        <v>0,00 m²</v>
      </c>
      <c r="U59" s="589" t="str">
        <f>IF($R59="ja",$S59,IF($R59="neen","0,00 m²",IF($R59="à encoder","/")))</f>
        <v>0,00 m²</v>
      </c>
      <c r="V59" s="589" t="str">
        <f>IF($R59="ja",$S59,IF($R59="neen","0,00 m²",IF($R59="à encoder","/")))</f>
        <v>0,00 m²</v>
      </c>
      <c r="W59" s="1201"/>
      <c r="X59" s="1201"/>
      <c r="Y59" s="1201"/>
      <c r="Z59" s="1201"/>
      <c r="AA59" s="1157"/>
      <c r="AB59" s="641"/>
      <c r="AC59" s="1072"/>
      <c r="AD59" s="497"/>
      <c r="AF59" s="538" t="s">
        <v>817</v>
      </c>
      <c r="AI59" s="538" t="s">
        <v>1481</v>
      </c>
    </row>
    <row r="60" spans="1:35" ht="15.75" customHeight="1" thickBot="1">
      <c r="A60" s="1072"/>
      <c r="B60" s="1072"/>
      <c r="C60" s="1072"/>
      <c r="D60" s="488"/>
      <c r="E60" s="1335"/>
      <c r="F60" s="1336"/>
      <c r="G60" s="1335"/>
      <c r="H60" s="1336"/>
      <c r="I60" s="1237"/>
      <c r="J60" s="1304"/>
      <c r="K60" s="1089" t="s">
        <v>819</v>
      </c>
      <c r="L60" s="1231" t="s">
        <v>1246</v>
      </c>
      <c r="M60" s="1231"/>
      <c r="N60" s="1231"/>
      <c r="O60" s="1231"/>
      <c r="P60" s="1232"/>
      <c r="Q60" s="497"/>
      <c r="R60" s="1093" t="s">
        <v>1095</v>
      </c>
      <c r="S60" s="1080"/>
      <c r="T60" s="589">
        <f t="shared" si="0"/>
        <v>0</v>
      </c>
      <c r="U60" s="589">
        <f>IF($R60="ja",$S60,IF($R60="neen","0,00 m²",IF($R60="à encoder","/")))</f>
        <v>0</v>
      </c>
      <c r="V60" s="589">
        <f>IF($R60="ja",$S60,IF($R60="neen","0,00 m²",IF($R60="à encoder","/")))</f>
        <v>0</v>
      </c>
      <c r="W60" s="1201" t="str">
        <f>IF(SUM(T60:T61)&gt;M19,"Surface supérieure à la surface encodée dans les caractéristiques physiques du bâtiment","")</f>
        <v/>
      </c>
      <c r="X60" s="1201"/>
      <c r="Y60" s="1201"/>
      <c r="Z60" s="1201"/>
      <c r="AA60" s="1157">
        <f>SUM(T60:T61)/M19</f>
        <v>0</v>
      </c>
      <c r="AB60" s="641"/>
      <c r="AC60" s="1072"/>
      <c r="AF60" s="538" t="s">
        <v>817</v>
      </c>
      <c r="AI60" s="538" t="s">
        <v>1481</v>
      </c>
    </row>
    <row r="61" spans="1:35" ht="15.75" customHeight="1" thickBot="1">
      <c r="A61" s="1072"/>
      <c r="B61" s="1072"/>
      <c r="C61" s="1072"/>
      <c r="D61" s="488"/>
      <c r="E61" s="1335"/>
      <c r="F61" s="1336"/>
      <c r="G61" s="1335"/>
      <c r="H61" s="1336"/>
      <c r="I61" s="1237"/>
      <c r="J61" s="1304"/>
      <c r="K61" s="1089" t="s">
        <v>818</v>
      </c>
      <c r="L61" s="1231" t="s">
        <v>1247</v>
      </c>
      <c r="M61" s="1231"/>
      <c r="N61" s="1231"/>
      <c r="O61" s="1231"/>
      <c r="P61" s="1232"/>
      <c r="Q61" s="497"/>
      <c r="R61" s="1093" t="s">
        <v>1095</v>
      </c>
      <c r="S61" s="687"/>
      <c r="T61" s="589">
        <f t="shared" si="0"/>
        <v>0</v>
      </c>
      <c r="U61" s="589">
        <f>IF($R61="ja",$S61*0,IF($R61="neen","0,00 m²",IF($R61="à encoder","/")))</f>
        <v>0</v>
      </c>
      <c r="V61" s="589">
        <f>IF($R61="ja",$S61*0,IF($R61="neen","0,00 m²",IF($R61="à encoder","/")))</f>
        <v>0</v>
      </c>
      <c r="W61" s="1201"/>
      <c r="X61" s="1201"/>
      <c r="Y61" s="1201"/>
      <c r="Z61" s="1201"/>
      <c r="AA61" s="1157"/>
      <c r="AB61" s="641"/>
      <c r="AC61" s="1072"/>
      <c r="AF61" s="688" t="s">
        <v>817</v>
      </c>
      <c r="AI61" s="688" t="s">
        <v>1482</v>
      </c>
    </row>
    <row r="62" spans="1:35" ht="15.75" customHeight="1" thickBot="1">
      <c r="A62" s="1072"/>
      <c r="B62" s="1072"/>
      <c r="C62" s="1072"/>
      <c r="D62" s="488"/>
      <c r="E62" s="1335"/>
      <c r="F62" s="1336"/>
      <c r="G62" s="1335"/>
      <c r="H62" s="1336"/>
      <c r="I62" s="1237"/>
      <c r="J62" s="1304"/>
      <c r="K62" s="1089" t="s">
        <v>816</v>
      </c>
      <c r="L62" s="1231" t="s">
        <v>1248</v>
      </c>
      <c r="M62" s="1231"/>
      <c r="N62" s="1231"/>
      <c r="O62" s="1231"/>
      <c r="P62" s="1232"/>
      <c r="Q62" s="497"/>
      <c r="R62" s="1093" t="s">
        <v>1096</v>
      </c>
      <c r="S62" s="528"/>
      <c r="T62" s="527"/>
      <c r="U62" s="523" t="s">
        <v>665</v>
      </c>
      <c r="V62" s="523" t="s">
        <v>664</v>
      </c>
      <c r="W62" s="523" t="s">
        <v>663</v>
      </c>
      <c r="X62" s="527"/>
      <c r="Y62" s="527"/>
      <c r="Z62" s="523"/>
      <c r="AA62" s="530" t="s">
        <v>391</v>
      </c>
      <c r="AB62" s="641"/>
      <c r="AC62" s="1072"/>
      <c r="AF62" s="538"/>
      <c r="AI62" s="688"/>
    </row>
    <row r="63" spans="1:35" ht="15.75" customHeight="1" thickBot="1">
      <c r="A63" s="1072"/>
      <c r="B63" s="1072"/>
      <c r="C63" s="1072"/>
      <c r="D63" s="488"/>
      <c r="E63" s="1337"/>
      <c r="F63" s="1338"/>
      <c r="G63" s="1337"/>
      <c r="H63" s="1338"/>
      <c r="I63" s="1237"/>
      <c r="J63" s="1304"/>
      <c r="K63" s="1090" t="s">
        <v>815</v>
      </c>
      <c r="L63" s="1231" t="s">
        <v>1249</v>
      </c>
      <c r="M63" s="1231"/>
      <c r="N63" s="1231"/>
      <c r="O63" s="1231"/>
      <c r="P63" s="1232"/>
      <c r="Q63" s="497"/>
      <c r="R63" s="572"/>
      <c r="S63" s="678">
        <f>O15</f>
        <v>500</v>
      </c>
      <c r="T63" s="527"/>
      <c r="U63" s="686">
        <f>IF(X63="/","/",IF(ISERROR(X63)=TRUE,"/",IF(X63&lt;=100%,SUM(U51:U61)/S63,"FAUX")))</f>
        <v>0</v>
      </c>
      <c r="V63" s="686">
        <f>IF(X63="/","/",IF(ISERROR(X63)=TRUE,"/",IF(X63&lt;=100%,SUM(V51:V61)/S63,"FAUX")))</f>
        <v>0</v>
      </c>
      <c r="W63" s="524" t="str">
        <f>IF(R62="à encoder","/",R62)</f>
        <v>neen</v>
      </c>
      <c r="X63" s="573">
        <f>IF(S64="/","/",1-S64/S63)</f>
        <v>0</v>
      </c>
      <c r="Y63" s="573"/>
      <c r="Z63" s="523"/>
      <c r="AA63" s="522">
        <f>IF(OR(U63="/",V63="/",W63="/"),"/",IF(OR(U63&gt;100%,V63&gt;100%,AA51&gt;100%,AA56&gt;100%,AA60&gt;100%),"/",IF(AND(($W63="ja"),($U63&gt;=90%),($V63&gt;=75%)),"4",IF(AND(($W63="ja"),($U63&gt;=75%),($V63&gt;=60%)),"3",IF(AND(($U63&gt;=45%),($V63&gt;=30%)),"2",IF(AND(($U63&gt;=30%),($V63&gt;=15%)),"1",0))))))</f>
        <v>0</v>
      </c>
      <c r="AB63" s="641"/>
      <c r="AC63" s="1072"/>
    </row>
    <row r="64" spans="1:35" ht="15.75" customHeight="1" thickBot="1">
      <c r="A64" s="1072"/>
      <c r="B64" s="1072"/>
      <c r="C64" s="1072"/>
      <c r="D64" s="488"/>
      <c r="E64" s="1333" t="s">
        <v>672</v>
      </c>
      <c r="F64" s="1334"/>
      <c r="G64" s="1333" t="s">
        <v>672</v>
      </c>
      <c r="H64" s="1334"/>
      <c r="I64" s="1236" t="s">
        <v>814</v>
      </c>
      <c r="J64" s="1086" t="s">
        <v>1127</v>
      </c>
      <c r="K64" s="1311" t="s">
        <v>1250</v>
      </c>
      <c r="L64" s="1312"/>
      <c r="M64" s="1091" t="s">
        <v>641</v>
      </c>
      <c r="N64" s="1091" t="s">
        <v>639</v>
      </c>
      <c r="O64" s="1091" t="s">
        <v>638</v>
      </c>
      <c r="P64" s="1092" t="s">
        <v>636</v>
      </c>
      <c r="Q64" s="497"/>
      <c r="R64" s="675" t="s">
        <v>708</v>
      </c>
      <c r="S64" s="585">
        <f>IF(OR(R51="à encoder",R52="à encoder",R53="à encoder",R54="à encoder",R55="à encoder",R56="à encoder",R57="à encoder",R58="à encoder",R59="à encoder",R60="à encoder",R61="à encoder"),"/",S63-SUMIF(R51:R61,"ja",S51:S61))</f>
        <v>500</v>
      </c>
      <c r="T64" s="564"/>
      <c r="U64" s="706" t="s">
        <v>1479</v>
      </c>
      <c r="V64" s="706" t="s">
        <v>1483</v>
      </c>
      <c r="W64" s="519" t="s">
        <v>1480</v>
      </c>
      <c r="X64" s="709"/>
      <c r="Y64" s="709"/>
      <c r="Z64" s="584"/>
      <c r="AA64" s="583"/>
      <c r="AB64" s="641"/>
      <c r="AC64" s="1072"/>
    </row>
    <row r="65" spans="1:35" ht="66.75" thickBot="1">
      <c r="A65" s="1072"/>
      <c r="B65" s="1072"/>
      <c r="C65" s="1072"/>
      <c r="D65" s="488"/>
      <c r="E65" s="1335"/>
      <c r="F65" s="1336"/>
      <c r="G65" s="1335"/>
      <c r="H65" s="1336"/>
      <c r="I65" s="1237"/>
      <c r="J65" s="1087" t="s">
        <v>1135</v>
      </c>
      <c r="K65" s="1379" t="s">
        <v>1251</v>
      </c>
      <c r="L65" s="1380"/>
      <c r="M65" s="708" t="s">
        <v>1252</v>
      </c>
      <c r="N65" s="708" t="s">
        <v>1253</v>
      </c>
      <c r="O65" s="707" t="s">
        <v>1254</v>
      </c>
      <c r="P65" s="707" t="s">
        <v>1255</v>
      </c>
      <c r="Q65" s="497"/>
      <c r="R65" s="496"/>
      <c r="S65" s="497"/>
      <c r="T65" s="496"/>
      <c r="U65" s="496"/>
      <c r="V65" s="497"/>
      <c r="W65" s="497"/>
      <c r="X65" s="497"/>
      <c r="Y65" s="497"/>
      <c r="Z65" s="497"/>
      <c r="AA65" s="497"/>
      <c r="AB65" s="485"/>
      <c r="AC65" s="1072"/>
    </row>
    <row r="66" spans="1:35" ht="15.75" customHeight="1" thickBot="1">
      <c r="A66" s="1072"/>
      <c r="B66" s="1072"/>
      <c r="C66" s="1072"/>
      <c r="D66" s="488"/>
      <c r="E66" s="1335"/>
      <c r="F66" s="1336"/>
      <c r="G66" s="1335"/>
      <c r="H66" s="1336"/>
      <c r="I66" s="1237"/>
      <c r="J66" s="1303" t="s">
        <v>1132</v>
      </c>
      <c r="K66" s="1088" t="s">
        <v>813</v>
      </c>
      <c r="L66" s="1417" t="s">
        <v>1256</v>
      </c>
      <c r="M66" s="1417"/>
      <c r="N66" s="1417"/>
      <c r="O66" s="1417"/>
      <c r="P66" s="1418"/>
      <c r="Q66" s="497"/>
      <c r="R66" s="1097" t="s">
        <v>1095</v>
      </c>
      <c r="S66" s="543"/>
      <c r="T66" s="690"/>
      <c r="U66" s="690"/>
      <c r="V66" s="541"/>
      <c r="W66" s="541"/>
      <c r="X66" s="541"/>
      <c r="Y66" s="541"/>
      <c r="Z66" s="541"/>
      <c r="AA66" s="557"/>
      <c r="AB66" s="485"/>
      <c r="AC66" s="1072"/>
      <c r="AE66" s="537"/>
      <c r="AF66" s="538"/>
      <c r="AH66" s="537"/>
      <c r="AI66" s="538"/>
    </row>
    <row r="67" spans="1:35" ht="15.75" customHeight="1" thickBot="1">
      <c r="A67" s="1072"/>
      <c r="B67" s="1072"/>
      <c r="C67" s="1072"/>
      <c r="D67" s="488"/>
      <c r="E67" s="1335"/>
      <c r="F67" s="1336"/>
      <c r="G67" s="1335"/>
      <c r="H67" s="1336"/>
      <c r="I67" s="1237"/>
      <c r="J67" s="1304"/>
      <c r="K67" s="1089" t="s">
        <v>812</v>
      </c>
      <c r="L67" s="1339" t="s">
        <v>1257</v>
      </c>
      <c r="M67" s="1339"/>
      <c r="N67" s="1339"/>
      <c r="O67" s="1339"/>
      <c r="P67" s="1340"/>
      <c r="Q67" s="497"/>
      <c r="R67" s="1093" t="s">
        <v>1095</v>
      </c>
      <c r="S67" s="678"/>
      <c r="T67" s="589">
        <f>IF($R67="ja",$S67,IF($R67="neen","0,00 m²",IF($R67="ja&gt;75%",S67*0.75,IF($R67="ja&gt;50%",S67*0.5,IF($R67="ja&gt;25%",S67*0.25,IF($R67="à encoder","/"))))))</f>
        <v>0</v>
      </c>
      <c r="U67" s="527"/>
      <c r="V67" s="555"/>
      <c r="W67" s="555"/>
      <c r="X67" s="555"/>
      <c r="Y67" s="555"/>
      <c r="Z67" s="555"/>
      <c r="AA67" s="554"/>
      <c r="AB67" s="485"/>
      <c r="AC67" s="1072"/>
      <c r="AF67" s="538"/>
      <c r="AI67" s="538"/>
    </row>
    <row r="68" spans="1:35" ht="15.75" customHeight="1" thickBot="1">
      <c r="A68" s="1072"/>
      <c r="B68" s="1072"/>
      <c r="C68" s="1072"/>
      <c r="D68" s="488"/>
      <c r="E68" s="1335"/>
      <c r="F68" s="1336"/>
      <c r="G68" s="1335"/>
      <c r="H68" s="1336"/>
      <c r="I68" s="1237"/>
      <c r="J68" s="1304"/>
      <c r="K68" s="1089" t="s">
        <v>811</v>
      </c>
      <c r="L68" s="1339" t="s">
        <v>1258</v>
      </c>
      <c r="M68" s="1339"/>
      <c r="N68" s="1339"/>
      <c r="O68" s="1339"/>
      <c r="P68" s="1340"/>
      <c r="Q68" s="497"/>
      <c r="R68" s="1093" t="s">
        <v>1095</v>
      </c>
      <c r="S68" s="678"/>
      <c r="T68" s="589">
        <f>IF($R68="ja",$S68,IF($R68="neen","0,00 m²",IF($R68="ja&gt;75%",S68*0.75,IF($R68="ja&gt;50%",S68*0.5,IF($R68="ja&gt;25%",S68*0.25,IF($R68="à encoder","/"))))))</f>
        <v>0</v>
      </c>
      <c r="U68" s="527"/>
      <c r="V68" s="555"/>
      <c r="W68" s="555"/>
      <c r="X68" s="555"/>
      <c r="Y68" s="555"/>
      <c r="Z68" s="555"/>
      <c r="AA68" s="554"/>
      <c r="AB68" s="485"/>
      <c r="AC68" s="1072"/>
    </row>
    <row r="69" spans="1:35" ht="15.75" customHeight="1" thickBot="1">
      <c r="A69" s="1072"/>
      <c r="B69" s="1072"/>
      <c r="C69" s="1072"/>
      <c r="D69" s="488"/>
      <c r="E69" s="1335"/>
      <c r="F69" s="1336"/>
      <c r="G69" s="1335"/>
      <c r="H69" s="1336"/>
      <c r="I69" s="1237"/>
      <c r="J69" s="1304"/>
      <c r="K69" s="1089" t="s">
        <v>810</v>
      </c>
      <c r="L69" s="1339" t="s">
        <v>1259</v>
      </c>
      <c r="M69" s="1339"/>
      <c r="N69" s="1339"/>
      <c r="O69" s="1339"/>
      <c r="P69" s="1340"/>
      <c r="Q69" s="497"/>
      <c r="R69" s="1093" t="s">
        <v>1095</v>
      </c>
      <c r="S69" s="678"/>
      <c r="T69" s="589">
        <f>IF($R69="ja",$S69,IF($R69="neen","0,00 m²",IF($R69="ja&gt;75%",S69*0.75,IF($R69="ja&gt;50%",S69*0.5,IF($R69="ja&gt;25%",S69*0.25,IF($R69="à encoder","/"))))))</f>
        <v>0</v>
      </c>
      <c r="U69" s="527"/>
      <c r="V69" s="555"/>
      <c r="W69" s="555"/>
      <c r="X69" s="555"/>
      <c r="Y69" s="555"/>
      <c r="Z69" s="555"/>
      <c r="AA69" s="554"/>
      <c r="AB69" s="485"/>
      <c r="AC69" s="1072"/>
      <c r="AF69" s="538"/>
      <c r="AI69" s="538"/>
    </row>
    <row r="70" spans="1:35" ht="15.75" customHeight="1" thickBot="1">
      <c r="A70" s="1072"/>
      <c r="B70" s="1072"/>
      <c r="C70" s="1072"/>
      <c r="D70" s="488"/>
      <c r="E70" s="1335"/>
      <c r="F70" s="1336"/>
      <c r="G70" s="1335"/>
      <c r="H70" s="1336"/>
      <c r="I70" s="1237"/>
      <c r="J70" s="1304"/>
      <c r="K70" s="1089" t="s">
        <v>809</v>
      </c>
      <c r="L70" s="1329" t="s">
        <v>1260</v>
      </c>
      <c r="M70" s="1329"/>
      <c r="N70" s="1329"/>
      <c r="O70" s="1329"/>
      <c r="P70" s="1330"/>
      <c r="Q70" s="497"/>
      <c r="R70" s="1093" t="s">
        <v>1095</v>
      </c>
      <c r="S70" s="678"/>
      <c r="T70" s="589">
        <f>IF($R70="ja",$S70,IF($R70="neen","0,00 m²",IF($R70="ja&gt;75%",S70*0.75,IF($R70="ja&gt;50%",S70*0.5,IF($R70="ja&gt;25%",S70*0.25,IF($R70="à encoder","/"))))))</f>
        <v>0</v>
      </c>
      <c r="U70" s="527"/>
      <c r="V70" s="555"/>
      <c r="W70" s="555"/>
      <c r="X70" s="555"/>
      <c r="Y70" s="555"/>
      <c r="Z70" s="555"/>
      <c r="AA70" s="554"/>
      <c r="AB70" s="485"/>
      <c r="AC70" s="1072"/>
      <c r="AF70" s="538"/>
    </row>
    <row r="71" spans="1:35" ht="15.75" customHeight="1" thickBot="1">
      <c r="A71" s="1072"/>
      <c r="B71" s="1072"/>
      <c r="C71" s="1072"/>
      <c r="D71" s="488"/>
      <c r="E71" s="1335"/>
      <c r="F71" s="1336"/>
      <c r="G71" s="1335"/>
      <c r="H71" s="1336"/>
      <c r="I71" s="1237"/>
      <c r="J71" s="1304"/>
      <c r="K71" s="1089" t="s">
        <v>808</v>
      </c>
      <c r="L71" s="1329" t="s">
        <v>1261</v>
      </c>
      <c r="M71" s="1329"/>
      <c r="N71" s="1329"/>
      <c r="O71" s="1329"/>
      <c r="P71" s="1330"/>
      <c r="Q71" s="497"/>
      <c r="R71" s="1093" t="s">
        <v>1095</v>
      </c>
      <c r="S71" s="528"/>
      <c r="T71" s="527" t="str">
        <f>IF($R71="ja","100%",IF($R71="neen","0,00%",IF($R71="ja&gt;75%","75%",IF($R71="ja&gt;50%","50%",IF($R71="ja&gt;25%","25%",IF($R71="à encoder","0,00%"))))))</f>
        <v>100%</v>
      </c>
      <c r="U71" s="527"/>
      <c r="V71" s="555"/>
      <c r="W71" s="555"/>
      <c r="X71" s="555"/>
      <c r="Y71" s="555"/>
      <c r="Z71" s="555"/>
      <c r="AA71" s="554"/>
      <c r="AB71" s="485"/>
      <c r="AC71" s="1072"/>
      <c r="AF71" s="538"/>
      <c r="AI71" s="538"/>
    </row>
    <row r="72" spans="1:35" ht="15.75" customHeight="1" thickBot="1">
      <c r="A72" s="1072"/>
      <c r="B72" s="1072"/>
      <c r="C72" s="1072"/>
      <c r="D72" s="488"/>
      <c r="E72" s="1335"/>
      <c r="F72" s="1336"/>
      <c r="G72" s="1335"/>
      <c r="H72" s="1336"/>
      <c r="I72" s="1237"/>
      <c r="J72" s="1304"/>
      <c r="K72" s="1089" t="s">
        <v>807</v>
      </c>
      <c r="L72" s="1329" t="s">
        <v>1262</v>
      </c>
      <c r="M72" s="1329"/>
      <c r="N72" s="1329"/>
      <c r="O72" s="1329"/>
      <c r="P72" s="1330"/>
      <c r="Q72" s="497"/>
      <c r="R72" s="1093" t="s">
        <v>1095</v>
      </c>
      <c r="S72" s="528"/>
      <c r="T72" s="527" t="str">
        <f>IF($R72="ja","100%",IF($R72="neen","0,00%",IF($R72="ja&gt;75%","75%",IF($R72="ja&gt;50%","50%",IF($R72="ja&gt;25%","25%",IF($R72="à encoder","0,00%"))))))</f>
        <v>100%</v>
      </c>
      <c r="U72" s="523" t="s">
        <v>665</v>
      </c>
      <c r="V72" s="523" t="s">
        <v>664</v>
      </c>
      <c r="W72" s="523" t="s">
        <v>663</v>
      </c>
      <c r="X72" s="555"/>
      <c r="Y72" s="555"/>
      <c r="Z72" s="523"/>
      <c r="AA72" s="530" t="s">
        <v>391</v>
      </c>
      <c r="AB72" s="485"/>
      <c r="AC72" s="1072"/>
    </row>
    <row r="73" spans="1:35" ht="15.75" customHeight="1" thickBot="1">
      <c r="A73" s="1072"/>
      <c r="B73" s="1072"/>
      <c r="C73" s="1072"/>
      <c r="D73" s="488"/>
      <c r="E73" s="1337"/>
      <c r="F73" s="1338"/>
      <c r="G73" s="1337"/>
      <c r="H73" s="1338"/>
      <c r="I73" s="1272"/>
      <c r="J73" s="1305"/>
      <c r="K73" s="1090" t="s">
        <v>806</v>
      </c>
      <c r="L73" s="1231" t="s">
        <v>1263</v>
      </c>
      <c r="M73" s="1231"/>
      <c r="N73" s="1231"/>
      <c r="O73" s="1231"/>
      <c r="P73" s="1232"/>
      <c r="Q73" s="497"/>
      <c r="R73" s="572"/>
      <c r="S73" s="678">
        <f>O23</f>
        <v>800</v>
      </c>
      <c r="T73" s="527"/>
      <c r="U73" s="686">
        <f>IF(OR(R67="à encoder",R68="à encoder",R69="à encoder",R70="à encoder"),"/",SUM(T67:T70)/S73)</f>
        <v>0</v>
      </c>
      <c r="V73" s="686">
        <f>IF(OR(R71="à encoder",R72="à encoder"),"/",(T71+T72)/2)</f>
        <v>1</v>
      </c>
      <c r="W73" s="524" t="str">
        <f>IF(R66="à encoder","/",R66)</f>
        <v>ja</v>
      </c>
      <c r="X73" s="555"/>
      <c r="Y73" s="555"/>
      <c r="Z73" s="523"/>
      <c r="AA73" s="522">
        <f>IF(OR(U73="/",V73="/",W73="/"),"/",IF(AND(($W73="ja"),($U73&gt;=90%),($V73&gt;=75%)),"4",IF(AND(($W73="ja"),($U73&gt;=60%),($V73&gt;=75%)),"3",IF(AND(($U73&gt;=30%),($V73&gt;=50%)),"2",IF(AND(($U73&gt;=10%),($V73&gt;=25%)),"1",0)))))</f>
        <v>0</v>
      </c>
      <c r="AB73" s="485"/>
      <c r="AC73" s="1072"/>
    </row>
    <row r="74" spans="1:35" ht="15.75" thickBot="1">
      <c r="A74" s="1072"/>
      <c r="B74" s="1072"/>
      <c r="C74" s="1072"/>
      <c r="D74" s="488"/>
      <c r="E74" s="1341" t="s">
        <v>1121</v>
      </c>
      <c r="F74" s="1342"/>
      <c r="G74" s="1341" t="s">
        <v>1122</v>
      </c>
      <c r="H74" s="1342"/>
      <c r="I74" s="1123" t="s">
        <v>134</v>
      </c>
      <c r="J74" s="1364" t="s">
        <v>1264</v>
      </c>
      <c r="K74" s="1416"/>
      <c r="L74" s="1365"/>
      <c r="M74" s="1365"/>
      <c r="N74" s="1365"/>
      <c r="O74" s="1365"/>
      <c r="P74" s="1366"/>
      <c r="Q74" s="497"/>
      <c r="R74" s="675" t="s">
        <v>708</v>
      </c>
      <c r="S74" s="585">
        <f>S73-S67-S68-S69-S70</f>
        <v>800</v>
      </c>
      <c r="T74" s="564"/>
      <c r="U74" s="706" t="s">
        <v>1484</v>
      </c>
      <c r="V74" s="706" t="s">
        <v>805</v>
      </c>
      <c r="W74" s="706" t="s">
        <v>1475</v>
      </c>
      <c r="X74" s="584"/>
      <c r="Y74" s="584"/>
      <c r="Z74" s="706"/>
      <c r="AA74" s="694"/>
      <c r="AB74" s="485"/>
      <c r="AC74" s="1072"/>
    </row>
    <row r="75" spans="1:35" ht="15.75" thickBot="1">
      <c r="A75" s="1072"/>
      <c r="B75" s="1072"/>
      <c r="C75" s="1072"/>
      <c r="D75" s="488"/>
      <c r="E75" s="1343"/>
      <c r="F75" s="1344"/>
      <c r="G75" s="1343"/>
      <c r="H75" s="1344"/>
      <c r="I75" s="1085" t="s">
        <v>705</v>
      </c>
      <c r="J75" s="1367" t="s">
        <v>1265</v>
      </c>
      <c r="K75" s="1368"/>
      <c r="L75" s="1368"/>
      <c r="M75" s="1368"/>
      <c r="N75" s="1368"/>
      <c r="O75" s="1368"/>
      <c r="P75" s="1369"/>
      <c r="Q75" s="497"/>
      <c r="R75" s="496"/>
      <c r="S75" s="497"/>
      <c r="T75" s="496"/>
      <c r="U75" s="496"/>
      <c r="V75" s="497"/>
      <c r="W75" s="705"/>
      <c r="X75" s="497"/>
      <c r="Y75" s="497"/>
      <c r="Z75" s="497"/>
      <c r="AA75" s="497"/>
      <c r="AB75" s="485"/>
      <c r="AC75" s="1072"/>
    </row>
    <row r="76" spans="1:35" ht="15.75" customHeight="1" thickBot="1">
      <c r="A76" s="1072"/>
      <c r="B76" s="1072"/>
      <c r="C76" s="1072"/>
      <c r="D76" s="488"/>
      <c r="E76" s="1333" t="s">
        <v>672</v>
      </c>
      <c r="F76" s="1334"/>
      <c r="G76" s="1333" t="s">
        <v>672</v>
      </c>
      <c r="H76" s="1334"/>
      <c r="I76" s="1236" t="s">
        <v>704</v>
      </c>
      <c r="J76" s="1086" t="s">
        <v>1127</v>
      </c>
      <c r="K76" s="1311" t="s">
        <v>1266</v>
      </c>
      <c r="L76" s="1312"/>
      <c r="M76" s="1091" t="s">
        <v>641</v>
      </c>
      <c r="N76" s="1091" t="s">
        <v>639</v>
      </c>
      <c r="O76" s="1091" t="s">
        <v>638</v>
      </c>
      <c r="P76" s="1092" t="s">
        <v>636</v>
      </c>
      <c r="Q76" s="497"/>
      <c r="R76" s="496"/>
      <c r="S76" s="497"/>
      <c r="T76" s="496"/>
      <c r="U76" s="496"/>
      <c r="V76" s="497"/>
      <c r="W76" s="497"/>
      <c r="X76" s="497"/>
      <c r="Y76" s="497"/>
      <c r="Z76" s="497"/>
      <c r="AA76" s="497"/>
      <c r="AB76" s="485"/>
      <c r="AC76" s="1072"/>
    </row>
    <row r="77" spans="1:35" ht="94.5" customHeight="1" thickBot="1">
      <c r="A77" s="1072"/>
      <c r="B77" s="1072"/>
      <c r="C77" s="1072"/>
      <c r="D77" s="488"/>
      <c r="E77" s="1335"/>
      <c r="F77" s="1336"/>
      <c r="G77" s="1335"/>
      <c r="H77" s="1336"/>
      <c r="I77" s="1237"/>
      <c r="J77" s="1087" t="s">
        <v>1135</v>
      </c>
      <c r="K77" s="1160" t="s">
        <v>1267</v>
      </c>
      <c r="L77" s="1161"/>
      <c r="M77" s="546" t="s">
        <v>1268</v>
      </c>
      <c r="N77" s="546" t="s">
        <v>1269</v>
      </c>
      <c r="O77" s="546" t="s">
        <v>1270</v>
      </c>
      <c r="P77" s="546" t="s">
        <v>1271</v>
      </c>
      <c r="Q77" s="497"/>
      <c r="R77" s="496"/>
      <c r="S77" s="497"/>
      <c r="T77" s="496"/>
      <c r="U77" s="496"/>
      <c r="V77" s="497"/>
      <c r="W77" s="497"/>
      <c r="X77" s="497"/>
      <c r="Y77" s="497"/>
      <c r="Z77" s="497"/>
      <c r="AA77" s="497"/>
      <c r="AB77" s="485"/>
      <c r="AC77" s="1072"/>
    </row>
    <row r="78" spans="1:35" ht="15.75" thickBot="1">
      <c r="A78" s="1072"/>
      <c r="B78" s="1072"/>
      <c r="C78" s="1072"/>
      <c r="D78" s="488"/>
      <c r="E78" s="1335"/>
      <c r="F78" s="1336"/>
      <c r="G78" s="1335"/>
      <c r="H78" s="1336"/>
      <c r="I78" s="1237"/>
      <c r="J78" s="1304"/>
      <c r="K78" s="1089" t="s">
        <v>703</v>
      </c>
      <c r="L78" s="1230" t="s">
        <v>1272</v>
      </c>
      <c r="M78" s="1231"/>
      <c r="N78" s="1231"/>
      <c r="O78" s="1231"/>
      <c r="P78" s="1232"/>
      <c r="Q78" s="497"/>
      <c r="R78" s="1094" t="s">
        <v>1095</v>
      </c>
      <c r="S78" s="704"/>
      <c r="T78" s="703">
        <f>IF($R78="ja",$S78,IF($R78="neen","0,00 m²",IF($R78="ja&gt;75%",S78*0.75,IF($R78="ja&gt;50%",S78*0.5,IF($R78="ja&gt;25%",S78*0.25,IF($R78="à encoder","/"))))))</f>
        <v>0</v>
      </c>
      <c r="U78" s="702"/>
      <c r="V78" s="540"/>
      <c r="W78" s="540"/>
      <c r="X78" s="540"/>
      <c r="Y78" s="540"/>
      <c r="Z78" s="540"/>
      <c r="AA78" s="539"/>
      <c r="AB78" s="485"/>
      <c r="AC78" s="1072"/>
    </row>
    <row r="79" spans="1:35" ht="15.75" thickBot="1">
      <c r="A79" s="1072"/>
      <c r="B79" s="1072"/>
      <c r="C79" s="1072"/>
      <c r="D79" s="488"/>
      <c r="E79" s="1335"/>
      <c r="F79" s="1336"/>
      <c r="G79" s="1335"/>
      <c r="H79" s="1336"/>
      <c r="I79" s="1237"/>
      <c r="J79" s="1304"/>
      <c r="K79" s="1089" t="s">
        <v>701</v>
      </c>
      <c r="L79" s="1230" t="s">
        <v>1273</v>
      </c>
      <c r="M79" s="1231"/>
      <c r="N79" s="1231"/>
      <c r="O79" s="1231"/>
      <c r="P79" s="1232"/>
      <c r="Q79" s="497"/>
      <c r="R79" s="1094" t="s">
        <v>1095</v>
      </c>
      <c r="S79" s="678"/>
      <c r="T79" s="682">
        <f>IF($R79="ja",$S79,IF($R79="neen","0,00 m²",IF($R79="ja&gt;75%",S79*0.75,IF($R79="ja&gt;50%",S79*0.5,IF($R79="ja&gt;25%",S79*0.25,IF($R79="à encoder","/"))))))</f>
        <v>0</v>
      </c>
      <c r="U79" s="570"/>
      <c r="V79" s="523"/>
      <c r="W79" s="523"/>
      <c r="X79" s="523"/>
      <c r="Y79" s="523"/>
      <c r="Z79" s="523"/>
      <c r="AA79" s="536"/>
      <c r="AB79" s="485"/>
      <c r="AC79" s="1072"/>
    </row>
    <row r="80" spans="1:35" ht="15.75" thickBot="1">
      <c r="A80" s="1072"/>
      <c r="B80" s="1072"/>
      <c r="C80" s="1072"/>
      <c r="D80" s="488"/>
      <c r="E80" s="1335"/>
      <c r="F80" s="1336"/>
      <c r="G80" s="1335"/>
      <c r="H80" s="1336"/>
      <c r="I80" s="1237"/>
      <c r="J80" s="1304"/>
      <c r="K80" s="1089" t="s">
        <v>698</v>
      </c>
      <c r="L80" s="1230" t="s">
        <v>1274</v>
      </c>
      <c r="M80" s="1231"/>
      <c r="N80" s="1231"/>
      <c r="O80" s="1231"/>
      <c r="P80" s="1232"/>
      <c r="Q80" s="497"/>
      <c r="R80" s="1094" t="s">
        <v>1095</v>
      </c>
      <c r="S80" s="678"/>
      <c r="T80" s="682">
        <f>IF($R80="ja",$S80,IF($R80="neen","0,00 m²",IF($R80="ja&gt;75%",S80*0.75,IF($R80="ja&gt;50%",S80*0.5,IF($R80="ja&gt;25%",S80*0.25,IF($R80="à encoder","/"))))))</f>
        <v>0</v>
      </c>
      <c r="U80" s="570"/>
      <c r="V80" s="523"/>
      <c r="W80" s="523"/>
      <c r="X80" s="523"/>
      <c r="Y80" s="523"/>
      <c r="Z80" s="523"/>
      <c r="AA80" s="536"/>
      <c r="AB80" s="485"/>
      <c r="AC80" s="1072"/>
    </row>
    <row r="81" spans="1:38" ht="15.75" thickBot="1">
      <c r="A81" s="1072"/>
      <c r="B81" s="1072"/>
      <c r="C81" s="1072"/>
      <c r="D81" s="488"/>
      <c r="E81" s="1335"/>
      <c r="F81" s="1336"/>
      <c r="G81" s="1335"/>
      <c r="H81" s="1336"/>
      <c r="I81" s="1237"/>
      <c r="J81" s="1304"/>
      <c r="K81" s="1089" t="s">
        <v>695</v>
      </c>
      <c r="L81" s="1329" t="s">
        <v>1275</v>
      </c>
      <c r="M81" s="1329"/>
      <c r="N81" s="1329"/>
      <c r="O81" s="1329"/>
      <c r="P81" s="1330"/>
      <c r="Q81" s="497"/>
      <c r="R81" s="1094" t="s">
        <v>1095</v>
      </c>
      <c r="S81" s="528"/>
      <c r="T81" s="533">
        <f>IF($R81="ja",1,IF($R81="neen",0,IF($R81="ja&gt;75%",0.75,IF($R81="ja&gt;50%",0.5,IF($R81="ja&gt;25%",0.25,IF($R81="à encoder","/"))))))</f>
        <v>1</v>
      </c>
      <c r="U81" s="689"/>
      <c r="V81" s="555"/>
      <c r="W81" s="555"/>
      <c r="X81" s="555"/>
      <c r="Y81" s="555"/>
      <c r="Z81" s="555"/>
      <c r="AA81" s="536"/>
      <c r="AB81" s="485"/>
      <c r="AC81" s="1072"/>
    </row>
    <row r="82" spans="1:38" ht="15.75" thickBot="1">
      <c r="A82" s="1072"/>
      <c r="B82" s="1072"/>
      <c r="C82" s="1072"/>
      <c r="D82" s="488"/>
      <c r="E82" s="1335"/>
      <c r="F82" s="1336"/>
      <c r="G82" s="1335"/>
      <c r="H82" s="1336"/>
      <c r="I82" s="1237"/>
      <c r="J82" s="1304"/>
      <c r="K82" s="1089" t="s">
        <v>693</v>
      </c>
      <c r="L82" s="1329" t="s">
        <v>1275</v>
      </c>
      <c r="M82" s="1329"/>
      <c r="N82" s="1329"/>
      <c r="O82" s="1329"/>
      <c r="P82" s="1330"/>
      <c r="Q82" s="497"/>
      <c r="R82" s="1093" t="s">
        <v>1095</v>
      </c>
      <c r="S82" s="528"/>
      <c r="T82" s="689"/>
      <c r="U82" s="531" t="s">
        <v>665</v>
      </c>
      <c r="V82" s="523" t="s">
        <v>664</v>
      </c>
      <c r="W82" s="523" t="s">
        <v>663</v>
      </c>
      <c r="X82" s="555"/>
      <c r="Y82" s="555"/>
      <c r="Z82" s="523"/>
      <c r="AA82" s="530" t="s">
        <v>391</v>
      </c>
      <c r="AB82" s="485"/>
      <c r="AC82" s="1072"/>
    </row>
    <row r="83" spans="1:38" ht="15.75" thickBot="1">
      <c r="A83" s="1072"/>
      <c r="B83" s="1072"/>
      <c r="C83" s="1072"/>
      <c r="D83" s="488"/>
      <c r="E83" s="1337"/>
      <c r="F83" s="1338"/>
      <c r="G83" s="1337"/>
      <c r="H83" s="1338"/>
      <c r="I83" s="1237"/>
      <c r="J83" s="1304"/>
      <c r="K83" s="1089" t="s">
        <v>690</v>
      </c>
      <c r="L83" s="1231" t="s">
        <v>1276</v>
      </c>
      <c r="M83" s="1231"/>
      <c r="N83" s="1231"/>
      <c r="O83" s="1231"/>
      <c r="P83" s="1232"/>
      <c r="Q83" s="497"/>
      <c r="R83" s="543"/>
      <c r="S83" s="678">
        <f>O15</f>
        <v>500</v>
      </c>
      <c r="T83" s="677"/>
      <c r="U83" s="587">
        <f>IF(OR(R78="à encoder",R79="à encoder",R80="à encoder"),"/",SUM(T78:T80)/S83)</f>
        <v>0</v>
      </c>
      <c r="V83" s="697">
        <f>T81</f>
        <v>1</v>
      </c>
      <c r="W83" s="587" t="str">
        <f>IF(R82="à encoder","/",R82)</f>
        <v>ja</v>
      </c>
      <c r="X83" s="555"/>
      <c r="Y83" s="555"/>
      <c r="Z83" s="523"/>
      <c r="AA83" s="522">
        <f>IF(OR(U83="/",V83="/",W83="/"),"/",IF(AND((W83="ja"),($V83&gt;=75%),($U83&gt;=80%)),"4",IF(AND(($V83&gt;=50%),($U83&gt;=60%)),"3",IF(AND(($V83&gt;=25%),($U83&gt;=30%)),"2",IF(AND(($U83&gt;=10%)),"1",0)))))</f>
        <v>0</v>
      </c>
      <c r="AB83" s="485"/>
      <c r="AC83" s="1072"/>
    </row>
    <row r="84" spans="1:38" ht="15.75" customHeight="1" thickBot="1">
      <c r="A84" s="1072"/>
      <c r="B84" s="1072"/>
      <c r="C84" s="1072"/>
      <c r="D84" s="488"/>
      <c r="E84" s="1333" t="s">
        <v>672</v>
      </c>
      <c r="F84" s="1334"/>
      <c r="G84" s="1333" t="s">
        <v>672</v>
      </c>
      <c r="H84" s="1334"/>
      <c r="I84" s="1236" t="s">
        <v>804</v>
      </c>
      <c r="J84" s="1086" t="s">
        <v>1127</v>
      </c>
      <c r="K84" s="1311" t="s">
        <v>1277</v>
      </c>
      <c r="L84" s="1312"/>
      <c r="M84" s="1091" t="s">
        <v>641</v>
      </c>
      <c r="N84" s="1091" t="s">
        <v>639</v>
      </c>
      <c r="O84" s="1091" t="s">
        <v>638</v>
      </c>
      <c r="P84" s="1092" t="s">
        <v>636</v>
      </c>
      <c r="Q84" s="497"/>
      <c r="R84" s="566" t="s">
        <v>708</v>
      </c>
      <c r="S84" s="585">
        <f>S83-S78-S79-S80</f>
        <v>500</v>
      </c>
      <c r="T84" s="564"/>
      <c r="U84" s="519" t="s">
        <v>1470</v>
      </c>
      <c r="V84" s="519" t="s">
        <v>1485</v>
      </c>
      <c r="W84" s="519" t="s">
        <v>1470</v>
      </c>
      <c r="X84" s="584"/>
      <c r="Y84" s="584"/>
      <c r="Z84" s="519"/>
      <c r="AA84" s="694"/>
      <c r="AB84" s="485"/>
      <c r="AC84" s="1072"/>
    </row>
    <row r="85" spans="1:38" ht="135.75" customHeight="1" thickBot="1">
      <c r="A85" s="1072"/>
      <c r="B85" s="1072"/>
      <c r="C85" s="1072"/>
      <c r="D85" s="488"/>
      <c r="E85" s="1335"/>
      <c r="F85" s="1336"/>
      <c r="G85" s="1335"/>
      <c r="H85" s="1336"/>
      <c r="I85" s="1237"/>
      <c r="J85" s="1087" t="s">
        <v>1135</v>
      </c>
      <c r="K85" s="1160" t="s">
        <v>1278</v>
      </c>
      <c r="L85" s="1161"/>
      <c r="M85" s="546" t="s">
        <v>1279</v>
      </c>
      <c r="N85" s="546" t="s">
        <v>1280</v>
      </c>
      <c r="O85" s="546" t="s">
        <v>1281</v>
      </c>
      <c r="P85" s="546" t="s">
        <v>1282</v>
      </c>
      <c r="Q85" s="497"/>
      <c r="R85" s="496"/>
      <c r="S85" s="497"/>
      <c r="T85" s="701"/>
      <c r="U85" s="701"/>
      <c r="V85" s="700"/>
      <c r="W85" s="497"/>
      <c r="X85" s="497"/>
      <c r="Y85" s="510"/>
      <c r="Z85" s="510"/>
      <c r="AA85" s="510"/>
      <c r="AB85" s="561"/>
      <c r="AC85" s="1072"/>
      <c r="AD85" s="560"/>
    </row>
    <row r="86" spans="1:38" ht="15.75" customHeight="1" thickBot="1">
      <c r="A86" s="1072"/>
      <c r="B86" s="1072"/>
      <c r="C86" s="1072"/>
      <c r="D86" s="488"/>
      <c r="E86" s="1335"/>
      <c r="F86" s="1336"/>
      <c r="G86" s="1335"/>
      <c r="H86" s="1336"/>
      <c r="I86" s="1237"/>
      <c r="J86" s="1303" t="s">
        <v>1132</v>
      </c>
      <c r="K86" s="1089" t="s">
        <v>803</v>
      </c>
      <c r="L86" s="1227" t="s">
        <v>1283</v>
      </c>
      <c r="M86" s="1228"/>
      <c r="N86" s="1228"/>
      <c r="O86" s="1228"/>
      <c r="P86" s="1229"/>
      <c r="Q86" s="497"/>
      <c r="R86" s="1093" t="s">
        <v>1095</v>
      </c>
      <c r="S86" s="597"/>
      <c r="T86" s="596">
        <f t="shared" ref="T86:T95" si="1">IF($R86="ja",$S86,IF($R86="neen","0,00 m²",IF($R86="à encoder","/")))</f>
        <v>0</v>
      </c>
      <c r="U86" s="596">
        <f>IF($R86="ja",$S86*0,IF($R86="neen","0,00 m²",IF($R86="à encoder","/")))</f>
        <v>0</v>
      </c>
      <c r="V86" s="596">
        <f>IF($R86="ja",$S86*0.5,IF($R86="neen","0,00 m²",IF($R86="à encoder","/")))</f>
        <v>0</v>
      </c>
      <c r="W86" s="596">
        <f>IF($R86="ja",$S86*1,IF($R86="neen","0,00 m²",IF($R86="à encoder","/")))</f>
        <v>0</v>
      </c>
      <c r="X86" s="1154" t="str">
        <f>IF(SUM(T86:T89)&gt;(M17-M19),"Totale oppervlakte is groter dan deze gedefinieerd bij de karakteristieken van het gebouw",IF(OR(T51&lt;&gt;T86,T51&lt;&gt;T111,T86&lt;&gt;T111,T52&lt;&gt;T87,T53&lt;&gt;T88,T88&lt;&gt;T112,T112&lt;&gt;T53,T54&lt;&gt;T89),"De geveloppervlakte komt niet overeen",""))</f>
        <v>De geveloppervlakte komt niet overeen</v>
      </c>
      <c r="Y86" s="1154"/>
      <c r="Z86" s="1154"/>
      <c r="AA86" s="1156">
        <f>SUM(T86:T89)/(M17-M19)</f>
        <v>0</v>
      </c>
      <c r="AB86" s="641"/>
      <c r="AC86" s="1072"/>
      <c r="AE86" s="537" t="s">
        <v>702</v>
      </c>
      <c r="AF86" s="688" t="s">
        <v>802</v>
      </c>
      <c r="AH86" s="537" t="s">
        <v>722</v>
      </c>
      <c r="AI86" s="688" t="s">
        <v>793</v>
      </c>
      <c r="AK86" s="537" t="s">
        <v>740</v>
      </c>
      <c r="AL86" s="538" t="s">
        <v>784</v>
      </c>
    </row>
    <row r="87" spans="1:38" ht="15.75" customHeight="1" thickBot="1">
      <c r="A87" s="1072"/>
      <c r="B87" s="1072"/>
      <c r="C87" s="1072"/>
      <c r="D87" s="488"/>
      <c r="E87" s="1335"/>
      <c r="F87" s="1336"/>
      <c r="G87" s="1335"/>
      <c r="H87" s="1336"/>
      <c r="I87" s="1237"/>
      <c r="J87" s="1304"/>
      <c r="K87" s="1089" t="s">
        <v>801</v>
      </c>
      <c r="L87" s="1230" t="s">
        <v>1471</v>
      </c>
      <c r="M87" s="1231"/>
      <c r="N87" s="1231"/>
      <c r="O87" s="1231"/>
      <c r="P87" s="1232"/>
      <c r="Q87" s="497"/>
      <c r="R87" s="1093" t="s">
        <v>1095</v>
      </c>
      <c r="S87" s="687"/>
      <c r="T87" s="589">
        <f t="shared" si="1"/>
        <v>0</v>
      </c>
      <c r="U87" s="589">
        <f>IF($R87="ja",$S87*1,IF($R87="neen","0,00 m²",IF($R87="à encoder","/")))</f>
        <v>0</v>
      </c>
      <c r="V87" s="589">
        <f>IF($R87="ja",$S87*1,IF($R87="neen","0,00 m²",IF($R87="à encoder","/")))</f>
        <v>0</v>
      </c>
      <c r="W87" s="589">
        <f>IF($R87="ja",$S87*1,IF($R87="neen","0,00 m²",IF($R87="à encoder","/")))</f>
        <v>0</v>
      </c>
      <c r="X87" s="1155"/>
      <c r="Y87" s="1155"/>
      <c r="Z87" s="1155"/>
      <c r="AA87" s="1157"/>
      <c r="AB87" s="641"/>
      <c r="AC87" s="1072"/>
      <c r="AF87" s="538" t="s">
        <v>786</v>
      </c>
      <c r="AI87" s="538" t="s">
        <v>785</v>
      </c>
      <c r="AL87" s="538" t="s">
        <v>784</v>
      </c>
    </row>
    <row r="88" spans="1:38" ht="15.75" customHeight="1" thickBot="1">
      <c r="A88" s="1072"/>
      <c r="B88" s="1072"/>
      <c r="C88" s="1072"/>
      <c r="D88" s="488"/>
      <c r="E88" s="1335"/>
      <c r="F88" s="1336"/>
      <c r="G88" s="1335"/>
      <c r="H88" s="1336"/>
      <c r="I88" s="1237"/>
      <c r="J88" s="1304"/>
      <c r="K88" s="1089" t="s">
        <v>800</v>
      </c>
      <c r="L88" s="1248" t="s">
        <v>1284</v>
      </c>
      <c r="M88" s="1249"/>
      <c r="N88" s="1249"/>
      <c r="O88" s="1249"/>
      <c r="P88" s="1250"/>
      <c r="Q88" s="497"/>
      <c r="R88" s="1093" t="s">
        <v>1095</v>
      </c>
      <c r="S88" s="687"/>
      <c r="T88" s="589">
        <f t="shared" si="1"/>
        <v>0</v>
      </c>
      <c r="U88" s="589">
        <f>IF($R88="ja",$S88*0,IF($R88="neen","0,00 m²",IF($R88="à encoder","/")))</f>
        <v>0</v>
      </c>
      <c r="V88" s="589">
        <f>IF($R88="ja",$S88*0.25,IF($R88="neen","0,00 m²",IF($R88="à encoder","/")))</f>
        <v>0</v>
      </c>
      <c r="W88" s="589">
        <f>IF($R88="ja",$S88*0,IF($R88="neen","0,00 m²",IF($R88="à encoder","/")))</f>
        <v>0</v>
      </c>
      <c r="X88" s="1155"/>
      <c r="Y88" s="1155"/>
      <c r="Z88" s="1155"/>
      <c r="AA88" s="1157"/>
      <c r="AB88" s="641"/>
      <c r="AC88" s="1072"/>
      <c r="AF88" s="688" t="s">
        <v>790</v>
      </c>
      <c r="AI88" s="688" t="s">
        <v>789</v>
      </c>
      <c r="AL88" s="688" t="s">
        <v>788</v>
      </c>
    </row>
    <row r="89" spans="1:38" ht="15.75" customHeight="1" thickBot="1">
      <c r="A89" s="1072"/>
      <c r="B89" s="1072"/>
      <c r="C89" s="1072"/>
      <c r="D89" s="488"/>
      <c r="E89" s="1335"/>
      <c r="F89" s="1336"/>
      <c r="G89" s="1335"/>
      <c r="H89" s="1336"/>
      <c r="I89" s="1237"/>
      <c r="J89" s="1304"/>
      <c r="K89" s="1089" t="s">
        <v>799</v>
      </c>
      <c r="L89" s="1231" t="s">
        <v>1285</v>
      </c>
      <c r="M89" s="1231"/>
      <c r="N89" s="1231"/>
      <c r="O89" s="1231"/>
      <c r="P89" s="1232"/>
      <c r="Q89" s="497"/>
      <c r="R89" s="1093" t="s">
        <v>1095</v>
      </c>
      <c r="S89" s="687"/>
      <c r="T89" s="589">
        <f t="shared" si="1"/>
        <v>0</v>
      </c>
      <c r="U89" s="589">
        <f>IF($R89="ja",$S89*0.5,IF($R89="neen","0,00 m²",IF($R89="à encoder","/")))</f>
        <v>0</v>
      </c>
      <c r="V89" s="589">
        <f>IF($R89="ja",$S89*0.5,IF($R89="neen","0,00 m²",IF($R89="à encoder","/")))</f>
        <v>0</v>
      </c>
      <c r="W89" s="589">
        <f>IF($R89="ja",$S89*0.5,IF($R89="neen","0,00 m²",IF($R89="à encoder","/")))</f>
        <v>0</v>
      </c>
      <c r="X89" s="1155"/>
      <c r="Y89" s="1155"/>
      <c r="Z89" s="1155"/>
      <c r="AA89" s="1157"/>
      <c r="AB89" s="641"/>
      <c r="AC89" s="1072"/>
      <c r="AF89" s="688" t="s">
        <v>795</v>
      </c>
      <c r="AI89" s="688" t="s">
        <v>793</v>
      </c>
      <c r="AL89" s="688" t="s">
        <v>797</v>
      </c>
    </row>
    <row r="90" spans="1:38" ht="15.75" customHeight="1" thickBot="1">
      <c r="A90" s="1072"/>
      <c r="B90" s="1072"/>
      <c r="C90" s="1072"/>
      <c r="D90" s="488"/>
      <c r="E90" s="1335"/>
      <c r="F90" s="1336"/>
      <c r="G90" s="1335"/>
      <c r="H90" s="1336"/>
      <c r="I90" s="1237"/>
      <c r="J90" s="1304"/>
      <c r="K90" s="1089" t="s">
        <v>798</v>
      </c>
      <c r="L90" s="1231" t="s">
        <v>1286</v>
      </c>
      <c r="M90" s="1231"/>
      <c r="N90" s="1231"/>
      <c r="O90" s="1231"/>
      <c r="P90" s="1232"/>
      <c r="Q90" s="497"/>
      <c r="R90" s="1093" t="s">
        <v>1095</v>
      </c>
      <c r="S90" s="687"/>
      <c r="T90" s="589">
        <f t="shared" si="1"/>
        <v>0</v>
      </c>
      <c r="U90" s="589">
        <f>IF($R90="ja",$S90*1,IF($R90="neen","0,00 m²",IF($R90="à encoder","/")))</f>
        <v>0</v>
      </c>
      <c r="V90" s="589">
        <f>IF($R90="ja",$S90*1,IF($R90="neen","0,00 m²",IF($R90="à encoder","/")))</f>
        <v>0</v>
      </c>
      <c r="W90" s="589">
        <f>IF($R90="ja",$S90*0.5,IF($R90="neen","0,00 m²",IF($R90="à encoder","/")))</f>
        <v>0</v>
      </c>
      <c r="X90" s="1155" t="str">
        <f>IF(SUM(T90:T93)&gt;M15,"Totaal dakoppervlak groter dan gedefinieerd bij karakteristieken",IF(OR((T90+T91)&lt;&gt;T56,T57&lt;&gt;T116,T58&lt;&gt;T92,T58&lt;&gt;T115,T115&lt;&gt;T92,T59&lt;&gt;T93),"Totaal dakoppervlak komt niet overeen met codes A2.1 of B1.4",""))</f>
        <v>Totaal dakoppervlak komt niet overeen met codes A2.1 of B1.4</v>
      </c>
      <c r="Y90" s="1155"/>
      <c r="Z90" s="1155"/>
      <c r="AA90" s="1157">
        <f>SUM(T90:T93)/M15</f>
        <v>0</v>
      </c>
      <c r="AB90" s="641"/>
      <c r="AC90" s="1072"/>
      <c r="AF90" s="538" t="s">
        <v>786</v>
      </c>
      <c r="AI90" s="538" t="s">
        <v>785</v>
      </c>
      <c r="AL90" s="688" t="s">
        <v>797</v>
      </c>
    </row>
    <row r="91" spans="1:38" ht="15.75" customHeight="1" thickBot="1">
      <c r="A91" s="1072"/>
      <c r="B91" s="1072"/>
      <c r="C91" s="1072"/>
      <c r="D91" s="488"/>
      <c r="E91" s="1335"/>
      <c r="F91" s="1336"/>
      <c r="G91" s="1335"/>
      <c r="H91" s="1336"/>
      <c r="I91" s="1237"/>
      <c r="J91" s="1304"/>
      <c r="K91" s="1089" t="s">
        <v>796</v>
      </c>
      <c r="L91" s="1231" t="s">
        <v>1287</v>
      </c>
      <c r="M91" s="1231"/>
      <c r="N91" s="1231"/>
      <c r="O91" s="1231"/>
      <c r="P91" s="1232"/>
      <c r="Q91" s="497"/>
      <c r="R91" s="1093" t="s">
        <v>1095</v>
      </c>
      <c r="S91" s="687"/>
      <c r="T91" s="589">
        <f t="shared" si="1"/>
        <v>0</v>
      </c>
      <c r="U91" s="589">
        <f>IF($R91="ja",$S91*0.5,IF($R91="neen","0,00 m²",IF($R91="à encoder","/")))</f>
        <v>0</v>
      </c>
      <c r="V91" s="589">
        <f>IF($R91="ja",$S91*1,IF($R91="neen","0,00 m²",IF($R91="à encoder","/")))</f>
        <v>0</v>
      </c>
      <c r="W91" s="589">
        <f>IF($R91="ja",$S91*1,IF($R91="neen","0,00 m²",IF($R91="à encoder","/")))</f>
        <v>0</v>
      </c>
      <c r="X91" s="1155"/>
      <c r="Y91" s="1155"/>
      <c r="Z91" s="1155"/>
      <c r="AA91" s="1157"/>
      <c r="AB91" s="641"/>
      <c r="AC91" s="1072"/>
      <c r="AF91" s="688" t="s">
        <v>795</v>
      </c>
      <c r="AI91" s="538" t="s">
        <v>785</v>
      </c>
      <c r="AL91" s="538" t="s">
        <v>784</v>
      </c>
    </row>
    <row r="92" spans="1:38" ht="15.75" thickBot="1">
      <c r="A92" s="1072"/>
      <c r="B92" s="1072"/>
      <c r="C92" s="1072"/>
      <c r="D92" s="488"/>
      <c r="E92" s="1335"/>
      <c r="F92" s="1336"/>
      <c r="G92" s="1335"/>
      <c r="H92" s="1336"/>
      <c r="I92" s="1237"/>
      <c r="J92" s="1304"/>
      <c r="K92" s="1089" t="s">
        <v>794</v>
      </c>
      <c r="L92" s="1231" t="s">
        <v>1288</v>
      </c>
      <c r="M92" s="1231"/>
      <c r="N92" s="1231"/>
      <c r="O92" s="1231"/>
      <c r="P92" s="1232"/>
      <c r="Q92" s="497"/>
      <c r="R92" s="1093" t="s">
        <v>1095</v>
      </c>
      <c r="S92" s="687"/>
      <c r="T92" s="589">
        <f t="shared" si="1"/>
        <v>0</v>
      </c>
      <c r="U92" s="589">
        <f>IF($R92="ja",$S92*0,IF($R92="neen","0,00 m²",IF($R92="à encoder","/")))</f>
        <v>0</v>
      </c>
      <c r="V92" s="589">
        <f>IF($R92="ja",$S92*0.5,IF($R92="neen","0,00 m²",IF($R92="à encoder","/")))</f>
        <v>0</v>
      </c>
      <c r="W92" s="589">
        <f>IF($R92="ja",$S92*1,IF($R92="neen","0,00 m²",IF($R92="à encoder","/")))</f>
        <v>0</v>
      </c>
      <c r="X92" s="1155"/>
      <c r="Y92" s="1155"/>
      <c r="Z92" s="1155"/>
      <c r="AA92" s="1157"/>
      <c r="AB92" s="641"/>
      <c r="AC92" s="1072"/>
      <c r="AF92" s="688" t="s">
        <v>790</v>
      </c>
      <c r="AI92" s="688" t="s">
        <v>793</v>
      </c>
      <c r="AL92" s="538" t="s">
        <v>784</v>
      </c>
    </row>
    <row r="93" spans="1:38" ht="15.75" thickBot="1">
      <c r="A93" s="1072"/>
      <c r="B93" s="1072"/>
      <c r="C93" s="1072"/>
      <c r="D93" s="488"/>
      <c r="E93" s="1335"/>
      <c r="F93" s="1336"/>
      <c r="G93" s="1335"/>
      <c r="H93" s="1336"/>
      <c r="I93" s="1237"/>
      <c r="J93" s="1304"/>
      <c r="K93" s="1089" t="s">
        <v>792</v>
      </c>
      <c r="L93" s="1248" t="s">
        <v>1289</v>
      </c>
      <c r="M93" s="1249"/>
      <c r="N93" s="1249"/>
      <c r="O93" s="1249"/>
      <c r="P93" s="1250"/>
      <c r="Q93" s="497"/>
      <c r="R93" s="1093" t="s">
        <v>1095</v>
      </c>
      <c r="S93" s="687"/>
      <c r="T93" s="589">
        <f t="shared" si="1"/>
        <v>0</v>
      </c>
      <c r="U93" s="589">
        <f>IF($R93="ja",$S93*0,IF($R93="neen","0,00 m²",IF($R93="à encoder","/")))</f>
        <v>0</v>
      </c>
      <c r="V93" s="589">
        <f>IF($R93="ja",$S93*0.25,IF($R93="neen","0,00 m²",IF($R93="à encoder","/")))</f>
        <v>0</v>
      </c>
      <c r="W93" s="589">
        <f>IF($R93="ja",$S93*0,IF($R93="neen","0,00 m²",IF($R93="à encoder","/")))</f>
        <v>0</v>
      </c>
      <c r="X93" s="1155"/>
      <c r="Y93" s="1155"/>
      <c r="Z93" s="1155"/>
      <c r="AA93" s="1157"/>
      <c r="AB93" s="641"/>
      <c r="AC93" s="1072"/>
      <c r="AF93" s="688" t="s">
        <v>790</v>
      </c>
      <c r="AI93" s="688" t="s">
        <v>789</v>
      </c>
      <c r="AL93" s="688" t="s">
        <v>788</v>
      </c>
    </row>
    <row r="94" spans="1:38" ht="15.75" customHeight="1" thickBot="1">
      <c r="A94" s="1072"/>
      <c r="B94" s="1072"/>
      <c r="C94" s="1072"/>
      <c r="D94" s="488"/>
      <c r="E94" s="1335"/>
      <c r="F94" s="1336"/>
      <c r="G94" s="1335"/>
      <c r="H94" s="1336"/>
      <c r="I94" s="1237"/>
      <c r="J94" s="1304"/>
      <c r="K94" s="1089" t="s">
        <v>791</v>
      </c>
      <c r="L94" s="1248" t="s">
        <v>1290</v>
      </c>
      <c r="M94" s="1249"/>
      <c r="N94" s="1249"/>
      <c r="O94" s="1249"/>
      <c r="P94" s="1250"/>
      <c r="Q94" s="497"/>
      <c r="R94" s="1093" t="s">
        <v>1095</v>
      </c>
      <c r="S94" s="687"/>
      <c r="T94" s="589">
        <f t="shared" si="1"/>
        <v>0</v>
      </c>
      <c r="U94" s="589">
        <f>IF($R94="ja",$S94*0,IF($R94="neen","0,00 m²",IF($R94="à encoder","/")))</f>
        <v>0</v>
      </c>
      <c r="V94" s="589">
        <f>IF($R94="ja",$S94*0.25,IF($R94="neen","0,00 m²",IF($R94="à encoder","/")))</f>
        <v>0</v>
      </c>
      <c r="W94" s="589">
        <f>IF($R94="ja",$S94*0,IF($R94="neen","0,00 m²",IF($R94="à encoder","/")))</f>
        <v>0</v>
      </c>
      <c r="X94" s="1155" t="str">
        <f>IF(SUM(T94:T95)&gt;M19,"Surface menuiserie &gt; surface des caractéristiques du bâtiment",IF(OR(S60&lt;&gt;T94,S61&lt;&gt;T95),"La surface de menuiserie ne correspond pas à celle encodée dans bâtiment A2.1 ou B1.2",""))</f>
        <v/>
      </c>
      <c r="Y94" s="1155"/>
      <c r="Z94" s="1155"/>
      <c r="AA94" s="1157">
        <f>SUM(T94:T95)/M19</f>
        <v>0</v>
      </c>
      <c r="AB94" s="699"/>
      <c r="AC94" s="1072"/>
      <c r="AF94" s="688" t="s">
        <v>790</v>
      </c>
      <c r="AI94" s="688" t="s">
        <v>789</v>
      </c>
      <c r="AL94" s="688" t="s">
        <v>788</v>
      </c>
    </row>
    <row r="95" spans="1:38" ht="15.75" thickBot="1">
      <c r="A95" s="1072"/>
      <c r="B95" s="1072"/>
      <c r="C95" s="1072"/>
      <c r="D95" s="488"/>
      <c r="E95" s="1335"/>
      <c r="F95" s="1336"/>
      <c r="G95" s="1335"/>
      <c r="H95" s="1336"/>
      <c r="I95" s="1237"/>
      <c r="J95" s="1304"/>
      <c r="K95" s="1089" t="s">
        <v>787</v>
      </c>
      <c r="L95" s="1231" t="s">
        <v>1291</v>
      </c>
      <c r="M95" s="1231"/>
      <c r="N95" s="1231"/>
      <c r="O95" s="1231"/>
      <c r="P95" s="1232"/>
      <c r="Q95" s="497"/>
      <c r="R95" s="1093" t="s">
        <v>1095</v>
      </c>
      <c r="S95" s="687"/>
      <c r="T95" s="589">
        <f t="shared" si="1"/>
        <v>0</v>
      </c>
      <c r="U95" s="589">
        <f>IF($R95="ja",$S95*1,IF($R95="neen","0,00 m²",IF($R95="à encoder","/")))</f>
        <v>0</v>
      </c>
      <c r="V95" s="589">
        <f>IF($R95="ja",$S95*1,IF($R95="neen","0,00 m²",IF($R95="à encoder","/")))</f>
        <v>0</v>
      </c>
      <c r="W95" s="589">
        <f>IF($R95="ja",$S95*1,IF($R95="neen","0,00 m²",IF($R95="à encoder","/")))</f>
        <v>0</v>
      </c>
      <c r="X95" s="1155"/>
      <c r="Y95" s="1155"/>
      <c r="Z95" s="1155"/>
      <c r="AA95" s="1157"/>
      <c r="AB95" s="699"/>
      <c r="AC95" s="1072"/>
      <c r="AF95" s="538" t="s">
        <v>786</v>
      </c>
      <c r="AI95" s="538" t="s">
        <v>785</v>
      </c>
      <c r="AL95" s="538" t="s">
        <v>784</v>
      </c>
    </row>
    <row r="96" spans="1:38" ht="15.75" thickBot="1">
      <c r="A96" s="1072"/>
      <c r="B96" s="1072"/>
      <c r="C96" s="1072"/>
      <c r="D96" s="488"/>
      <c r="E96" s="1335"/>
      <c r="F96" s="1336"/>
      <c r="G96" s="1335"/>
      <c r="H96" s="1336"/>
      <c r="I96" s="1237"/>
      <c r="J96" s="1304"/>
      <c r="K96" s="1089" t="s">
        <v>783</v>
      </c>
      <c r="L96" s="1230" t="s">
        <v>1309</v>
      </c>
      <c r="M96" s="1231"/>
      <c r="N96" s="1231"/>
      <c r="O96" s="1231"/>
      <c r="P96" s="1232"/>
      <c r="Q96" s="497"/>
      <c r="R96" s="1093" t="s">
        <v>1095</v>
      </c>
      <c r="S96" s="528"/>
      <c r="T96" s="533"/>
      <c r="U96" s="533"/>
      <c r="V96" s="533">
        <f>IF($R96="ja",1,IF($R96="neen",0,IF($R96="ja&gt;75%",0.75,IF($R96="ja&gt;50%",0.5,IF($R96="ja&gt;25%",0.25,IF($R96="à encoder","/"))))))</f>
        <v>1</v>
      </c>
      <c r="W96" s="533"/>
      <c r="X96" s="523"/>
      <c r="Y96" s="523"/>
      <c r="Z96" s="689"/>
      <c r="AA96" s="698"/>
      <c r="AB96" s="641"/>
      <c r="AC96" s="1072"/>
    </row>
    <row r="97" spans="1:36" ht="15.75" thickBot="1">
      <c r="A97" s="1072"/>
      <c r="B97" s="1072"/>
      <c r="C97" s="1072"/>
      <c r="D97" s="488"/>
      <c r="E97" s="1335"/>
      <c r="F97" s="1336"/>
      <c r="G97" s="1335"/>
      <c r="H97" s="1336"/>
      <c r="I97" s="1237"/>
      <c r="J97" s="1304"/>
      <c r="K97" s="1089" t="s">
        <v>782</v>
      </c>
      <c r="L97" s="1230" t="s">
        <v>1477</v>
      </c>
      <c r="M97" s="1231"/>
      <c r="N97" s="1231"/>
      <c r="O97" s="1231"/>
      <c r="P97" s="1232"/>
      <c r="Q97" s="497"/>
      <c r="R97" s="1093" t="s">
        <v>1095</v>
      </c>
      <c r="S97" s="528"/>
      <c r="T97" s="689"/>
      <c r="U97" s="528"/>
      <c r="V97" s="689"/>
      <c r="W97" s="533">
        <f>IF($R97="ja",1,IF($R97="neen",0,IF($R97="ja&gt;75%",0.75,IF($R97="ja&gt;50%",0.5,IF($R97="ja&gt;25%",0.25,IF($R97="à encoder","/"))))))</f>
        <v>1</v>
      </c>
      <c r="X97" s="523"/>
      <c r="Y97" s="523"/>
      <c r="Z97" s="689"/>
      <c r="AA97" s="698"/>
      <c r="AB97" s="641"/>
      <c r="AC97" s="1072"/>
    </row>
    <row r="98" spans="1:36" ht="15.75" thickBot="1">
      <c r="A98" s="1072"/>
      <c r="B98" s="1072"/>
      <c r="C98" s="1072"/>
      <c r="D98" s="488"/>
      <c r="E98" s="1335"/>
      <c r="F98" s="1336"/>
      <c r="G98" s="1335"/>
      <c r="H98" s="1336"/>
      <c r="I98" s="1237"/>
      <c r="J98" s="1304"/>
      <c r="K98" s="1089" t="s">
        <v>781</v>
      </c>
      <c r="L98" s="1329" t="s">
        <v>1292</v>
      </c>
      <c r="M98" s="1329"/>
      <c r="N98" s="1329"/>
      <c r="O98" s="1329"/>
      <c r="P98" s="1330"/>
      <c r="Q98" s="497"/>
      <c r="R98" s="1093" t="s">
        <v>1095</v>
      </c>
      <c r="S98" s="528"/>
      <c r="T98" s="689"/>
      <c r="U98" s="531" t="s">
        <v>665</v>
      </c>
      <c r="V98" s="523" t="s">
        <v>664</v>
      </c>
      <c r="W98" s="523" t="s">
        <v>663</v>
      </c>
      <c r="X98" s="523" t="s">
        <v>662</v>
      </c>
      <c r="Y98" s="523"/>
      <c r="Z98" s="689"/>
      <c r="AA98" s="530" t="s">
        <v>391</v>
      </c>
      <c r="AB98" s="641"/>
      <c r="AC98" s="1072"/>
    </row>
    <row r="99" spans="1:36" ht="15.75" thickBot="1">
      <c r="A99" s="1072"/>
      <c r="B99" s="1072"/>
      <c r="C99" s="1072"/>
      <c r="D99" s="488"/>
      <c r="E99" s="1337"/>
      <c r="F99" s="1338"/>
      <c r="G99" s="1337"/>
      <c r="H99" s="1338"/>
      <c r="I99" s="1237"/>
      <c r="J99" s="1305"/>
      <c r="K99" s="1089" t="s">
        <v>780</v>
      </c>
      <c r="L99" s="1331" t="s">
        <v>1276</v>
      </c>
      <c r="M99" s="1331"/>
      <c r="N99" s="1331"/>
      <c r="O99" s="1331"/>
      <c r="P99" s="1332"/>
      <c r="Q99" s="497"/>
      <c r="R99" s="572"/>
      <c r="S99" s="678">
        <f>O15</f>
        <v>500</v>
      </c>
      <c r="T99" s="677"/>
      <c r="U99" s="587">
        <f>IF(Y99="/","/",IF(ISERROR(Y99)=TRUE,"/",IF(Y99&lt;=100%,(((SUM(U86:U95)/$S$99)+(SUM(V86:V95)/$S$99)+(SUM(W86:W95)/$S$99))/3),"FAUX")))</f>
        <v>0</v>
      </c>
      <c r="V99" s="697">
        <f>IF(R96="à encoder","/",V96)</f>
        <v>1</v>
      </c>
      <c r="W99" s="587">
        <f>IF(R96="à encoder","/",W97)</f>
        <v>1</v>
      </c>
      <c r="X99" s="587" t="str">
        <f>IF(R98="à encoder","/",R98)</f>
        <v>ja</v>
      </c>
      <c r="Y99" s="573">
        <f>IF(S100="/","/",1-S100/S99)</f>
        <v>0</v>
      </c>
      <c r="Z99" s="696"/>
      <c r="AA99" s="522">
        <f>IF(OR(U99="/",V99="/",W99="/",X99="/"),"/",IF(OR(U99&gt;100%,AA86&gt;100%,AA90&gt;100%,AA94&gt;100%),"/",IF(AND(($X99="ja"),(W99&gt;=75%),($V99&gt;=75%),($U99&gt;=75%)),"4",IF(AND((W99&gt;=25%),($V99&gt;=25%),($U99&gt;=50%)),"3",IF(($U99&gt;=25%),"2",IF(($U99&gt;=10%),"1",0))))))</f>
        <v>0</v>
      </c>
      <c r="AB99" s="641"/>
      <c r="AC99" s="1072"/>
    </row>
    <row r="100" spans="1:36" ht="23.25" customHeight="1" thickBot="1">
      <c r="A100" s="1072"/>
      <c r="B100" s="1072"/>
      <c r="C100" s="1072"/>
      <c r="D100" s="488"/>
      <c r="E100" s="1333" t="s">
        <v>672</v>
      </c>
      <c r="F100" s="1334"/>
      <c r="G100" s="1333" t="s">
        <v>672</v>
      </c>
      <c r="H100" s="1334"/>
      <c r="I100" s="1236" t="s">
        <v>779</v>
      </c>
      <c r="J100" s="1086" t="s">
        <v>1127</v>
      </c>
      <c r="K100" s="1311" t="s">
        <v>1293</v>
      </c>
      <c r="L100" s="1312"/>
      <c r="M100" s="1091" t="s">
        <v>641</v>
      </c>
      <c r="N100" s="1091" t="s">
        <v>639</v>
      </c>
      <c r="O100" s="1091" t="s">
        <v>638</v>
      </c>
      <c r="P100" s="1092" t="s">
        <v>636</v>
      </c>
      <c r="Q100" s="497"/>
      <c r="R100" s="566" t="s">
        <v>708</v>
      </c>
      <c r="S100" s="585">
        <f>IF(OR(R86="à encoder",R87="à encoder",R88="à encoder",R89="à encoder",R90="à encoder",R91="à encoder",R92="à encoder",R93="à encoder",R94="à encoder",R95="à encoder"),"/",S99-SUMIF(R86:R95,"ja",S86:S95))</f>
        <v>500</v>
      </c>
      <c r="T100" s="564"/>
      <c r="U100" s="519" t="s">
        <v>1470</v>
      </c>
      <c r="V100" s="519" t="s">
        <v>1487</v>
      </c>
      <c r="W100" s="519" t="s">
        <v>1475</v>
      </c>
      <c r="X100" s="519" t="s">
        <v>660</v>
      </c>
      <c r="Y100" s="519"/>
      <c r="Z100" s="695"/>
      <c r="AA100" s="694"/>
      <c r="AB100" s="641"/>
      <c r="AC100" s="1072"/>
    </row>
    <row r="101" spans="1:36" ht="75" customHeight="1" thickBot="1">
      <c r="A101" s="1072"/>
      <c r="B101" s="1072"/>
      <c r="C101" s="1072"/>
      <c r="D101" s="488"/>
      <c r="E101" s="1335"/>
      <c r="F101" s="1336"/>
      <c r="G101" s="1335"/>
      <c r="H101" s="1336"/>
      <c r="I101" s="1237"/>
      <c r="J101" s="1087" t="s">
        <v>1135</v>
      </c>
      <c r="K101" s="1160" t="s">
        <v>1294</v>
      </c>
      <c r="L101" s="1161"/>
      <c r="M101" s="582" t="s">
        <v>1295</v>
      </c>
      <c r="N101" s="582" t="s">
        <v>1296</v>
      </c>
      <c r="O101" s="582" t="s">
        <v>1297</v>
      </c>
      <c r="P101" s="582" t="s">
        <v>1298</v>
      </c>
      <c r="Q101" s="497"/>
      <c r="R101" s="496"/>
      <c r="S101" s="497"/>
      <c r="T101" s="496"/>
      <c r="U101" s="496"/>
      <c r="V101" s="497"/>
      <c r="W101" s="497"/>
      <c r="X101" s="497"/>
      <c r="Y101" s="510"/>
      <c r="Z101" s="510"/>
      <c r="AA101" s="510"/>
      <c r="AB101" s="561"/>
      <c r="AC101" s="1072"/>
      <c r="AD101" s="560"/>
    </row>
    <row r="102" spans="1:36" ht="15.75" customHeight="1" thickBot="1">
      <c r="A102" s="1072"/>
      <c r="B102" s="1072"/>
      <c r="C102" s="1072"/>
      <c r="D102" s="488"/>
      <c r="E102" s="1335"/>
      <c r="F102" s="1336"/>
      <c r="G102" s="1335"/>
      <c r="H102" s="1336"/>
      <c r="I102" s="1237"/>
      <c r="J102" s="1303" t="s">
        <v>1132</v>
      </c>
      <c r="K102" s="1089" t="s">
        <v>778</v>
      </c>
      <c r="L102" s="1300" t="s">
        <v>1299</v>
      </c>
      <c r="M102" s="1301"/>
      <c r="N102" s="1301"/>
      <c r="O102" s="1301"/>
      <c r="P102" s="1302"/>
      <c r="Q102" s="497"/>
      <c r="R102" s="1094" t="s">
        <v>1145</v>
      </c>
      <c r="S102" s="543"/>
      <c r="T102" s="542">
        <f>IF($R102="ja",1,IF($R102="neen",0,IF($R102="ja&gt;75%",0.75,IF($R102="ja&gt;50%",0.5,IF($R102="ja&gt;25%",0.25,IF($R102="à encoder","/"))))))</f>
        <v>0.25</v>
      </c>
      <c r="U102" s="693"/>
      <c r="V102" s="541"/>
      <c r="W102" s="541"/>
      <c r="X102" s="541"/>
      <c r="Y102" s="541"/>
      <c r="Z102" s="541"/>
      <c r="AA102" s="539"/>
      <c r="AB102" s="485"/>
      <c r="AC102" s="1072"/>
      <c r="AE102" s="537"/>
      <c r="AF102" s="538"/>
      <c r="AH102" s="537"/>
    </row>
    <row r="103" spans="1:36" ht="15.75" customHeight="1" thickBot="1">
      <c r="A103" s="1072"/>
      <c r="B103" s="1072"/>
      <c r="C103" s="1072"/>
      <c r="D103" s="488"/>
      <c r="E103" s="1335"/>
      <c r="F103" s="1336"/>
      <c r="G103" s="1335"/>
      <c r="H103" s="1336"/>
      <c r="I103" s="1237"/>
      <c r="J103" s="1304"/>
      <c r="K103" s="1089" t="s">
        <v>777</v>
      </c>
      <c r="L103" s="1230" t="s">
        <v>1300</v>
      </c>
      <c r="M103" s="1231"/>
      <c r="N103" s="1231"/>
      <c r="O103" s="1231"/>
      <c r="P103" s="1232"/>
      <c r="Q103" s="497"/>
      <c r="R103" s="1094" t="s">
        <v>1145</v>
      </c>
      <c r="S103" s="534"/>
      <c r="T103" s="533">
        <f>IF($R103="ja",1,IF($R103="neen",0,IF($R103="ja&gt;75%",0.75,IF($R103="ja&gt;50%",0.5,IF($R103="ja&gt;25%",0.25,IF($R103="à encoder","/"))))))</f>
        <v>0.25</v>
      </c>
      <c r="U103" s="689"/>
      <c r="V103" s="523"/>
      <c r="W103" s="523"/>
      <c r="X103" s="523"/>
      <c r="Y103" s="523"/>
      <c r="Z103" s="523"/>
      <c r="AA103" s="536"/>
      <c r="AB103" s="485"/>
      <c r="AC103" s="1072"/>
      <c r="AF103" s="535"/>
    </row>
    <row r="104" spans="1:36" ht="15.75" customHeight="1" thickBot="1">
      <c r="A104" s="1072"/>
      <c r="B104" s="1072"/>
      <c r="C104" s="1072"/>
      <c r="D104" s="488"/>
      <c r="E104" s="1335"/>
      <c r="F104" s="1336"/>
      <c r="G104" s="1335"/>
      <c r="H104" s="1336"/>
      <c r="I104" s="1237"/>
      <c r="J104" s="1304"/>
      <c r="K104" s="1089" t="s">
        <v>776</v>
      </c>
      <c r="L104" s="1230" t="s">
        <v>1301</v>
      </c>
      <c r="M104" s="1231"/>
      <c r="N104" s="1231"/>
      <c r="O104" s="1231"/>
      <c r="P104" s="1232"/>
      <c r="Q104" s="497"/>
      <c r="R104" s="1094" t="s">
        <v>1145</v>
      </c>
      <c r="S104" s="534"/>
      <c r="T104" s="533">
        <f>IF($R104="ja",1,IF($R104="neen",0,IF($R104="ja&gt;75%",0.75,IF($R104="ja&gt;50%",0.5,IF($R104="ja&gt;25%",0.25,IF($R104="à encoder","/"))))))</f>
        <v>0.25</v>
      </c>
      <c r="U104" s="531" t="s">
        <v>665</v>
      </c>
      <c r="V104" s="523" t="s">
        <v>664</v>
      </c>
      <c r="W104" s="523"/>
      <c r="X104" s="523"/>
      <c r="Y104" s="523"/>
      <c r="Z104" s="523"/>
      <c r="AA104" s="530" t="s">
        <v>391</v>
      </c>
      <c r="AB104" s="485"/>
      <c r="AC104" s="1072"/>
    </row>
    <row r="105" spans="1:36" ht="15.75" customHeight="1" thickBot="1">
      <c r="A105" s="1072"/>
      <c r="B105" s="1072"/>
      <c r="C105" s="1072"/>
      <c r="D105" s="488"/>
      <c r="E105" s="1337"/>
      <c r="F105" s="1338"/>
      <c r="G105" s="1337"/>
      <c r="H105" s="1338"/>
      <c r="I105" s="1237"/>
      <c r="J105" s="1304"/>
      <c r="K105" s="1089" t="s">
        <v>775</v>
      </c>
      <c r="L105" s="1230" t="s">
        <v>1302</v>
      </c>
      <c r="M105" s="1231"/>
      <c r="N105" s="1231"/>
      <c r="O105" s="1231"/>
      <c r="P105" s="1232"/>
      <c r="Q105" s="497"/>
      <c r="R105" s="1094" t="s">
        <v>1147</v>
      </c>
      <c r="S105" s="528"/>
      <c r="T105" s="533">
        <f>IF($R105="ja",1,IF($R105="neen",0,IF($R105="ja&gt;75%",0.75,IF($R105="ja&gt;50%",0.5,IF($R105="ja&gt;25%",0.25,IF($R105="à encoder","/"))))))</f>
        <v>0.75</v>
      </c>
      <c r="U105" s="526">
        <f>IF(OR(T102="/",T103="/",T104="/"),"/",SUM(T102:T104)/3)</f>
        <v>0.25</v>
      </c>
      <c r="V105" s="526">
        <f>IF(R105="à encoder","/",T105)</f>
        <v>0.75</v>
      </c>
      <c r="W105" s="692"/>
      <c r="X105" s="523"/>
      <c r="Y105" s="523"/>
      <c r="Z105" s="523"/>
      <c r="AA105" s="522" t="str">
        <f>IF(OR(U105="/",V105="/"),"/",IF(AND(($V105&gt;=75%),($U105&gt;=90%)),"4",IF(AND(($V105&gt;=50%),($U105&gt;=60%)),"3",IF(AND(($V105&gt;=25%),($U105&gt;=30%)),"2",IF(AND(($V105&gt;=0%),($U105&gt;=10%)),"1",0)))))</f>
        <v>1</v>
      </c>
      <c r="AB105" s="485"/>
      <c r="AC105" s="1072"/>
    </row>
    <row r="106" spans="1:36" ht="15.75" customHeight="1" thickBot="1">
      <c r="A106" s="1072"/>
      <c r="B106" s="1072"/>
      <c r="C106" s="1072"/>
      <c r="D106" s="488"/>
      <c r="E106" s="1333" t="s">
        <v>672</v>
      </c>
      <c r="F106" s="1334"/>
      <c r="G106" s="1333" t="s">
        <v>672</v>
      </c>
      <c r="H106" s="1334"/>
      <c r="I106" s="1236" t="s">
        <v>774</v>
      </c>
      <c r="J106" s="1086" t="s">
        <v>1127</v>
      </c>
      <c r="K106" s="1311" t="s">
        <v>1303</v>
      </c>
      <c r="L106" s="1312"/>
      <c r="M106" s="1091" t="s">
        <v>641</v>
      </c>
      <c r="N106" s="1091" t="s">
        <v>639</v>
      </c>
      <c r="O106" s="1091" t="s">
        <v>638</v>
      </c>
      <c r="P106" s="1092" t="s">
        <v>636</v>
      </c>
      <c r="Q106" s="497"/>
      <c r="R106" s="521"/>
      <c r="S106" s="520"/>
      <c r="T106" s="520"/>
      <c r="U106" s="519" t="s">
        <v>1488</v>
      </c>
      <c r="V106" s="519" t="s">
        <v>1489</v>
      </c>
      <c r="W106" s="520"/>
      <c r="X106" s="519"/>
      <c r="Y106" s="519"/>
      <c r="Z106" s="519"/>
      <c r="AA106" s="518"/>
      <c r="AB106" s="485"/>
      <c r="AC106" s="1072"/>
    </row>
    <row r="107" spans="1:36" ht="197.25" customHeight="1" thickBot="1">
      <c r="A107" s="1072"/>
      <c r="B107" s="1072"/>
      <c r="C107" s="1072"/>
      <c r="D107" s="488"/>
      <c r="E107" s="1335"/>
      <c r="F107" s="1336"/>
      <c r="G107" s="1335"/>
      <c r="H107" s="1336"/>
      <c r="I107" s="1237"/>
      <c r="J107" s="1087" t="s">
        <v>1135</v>
      </c>
      <c r="K107" s="1227" t="s">
        <v>1304</v>
      </c>
      <c r="L107" s="1161"/>
      <c r="M107" s="691" t="s">
        <v>1305</v>
      </c>
      <c r="N107" s="691" t="s">
        <v>1306</v>
      </c>
      <c r="O107" s="691" t="s">
        <v>1307</v>
      </c>
      <c r="P107" s="691" t="s">
        <v>1308</v>
      </c>
      <c r="Q107" s="497"/>
      <c r="R107" s="496"/>
      <c r="S107" s="497"/>
      <c r="T107" s="496"/>
      <c r="U107" s="496"/>
      <c r="V107" s="497"/>
      <c r="W107" s="497"/>
      <c r="X107" s="497"/>
      <c r="Y107" s="497"/>
      <c r="Z107" s="510"/>
      <c r="AA107" s="510"/>
      <c r="AB107" s="561"/>
      <c r="AC107" s="1072"/>
      <c r="AD107" s="560"/>
      <c r="AG107" s="1412"/>
      <c r="AH107" s="1412"/>
    </row>
    <row r="108" spans="1:36" ht="15.75" customHeight="1" thickBot="1">
      <c r="A108" s="1072"/>
      <c r="B108" s="1072"/>
      <c r="C108" s="1072"/>
      <c r="D108" s="488"/>
      <c r="E108" s="1335"/>
      <c r="F108" s="1336"/>
      <c r="G108" s="1335"/>
      <c r="H108" s="1336"/>
      <c r="I108" s="1237"/>
      <c r="J108" s="1303" t="s">
        <v>1132</v>
      </c>
      <c r="K108" s="1088" t="s">
        <v>773</v>
      </c>
      <c r="L108" s="1228" t="s">
        <v>1310</v>
      </c>
      <c r="M108" s="1228"/>
      <c r="N108" s="1228"/>
      <c r="O108" s="1228"/>
      <c r="P108" s="1229"/>
      <c r="Q108" s="497"/>
      <c r="R108" s="1093" t="s">
        <v>1095</v>
      </c>
      <c r="S108" s="543"/>
      <c r="T108" s="690"/>
      <c r="U108" s="690"/>
      <c r="V108" s="541"/>
      <c r="W108" s="541"/>
      <c r="X108" s="541"/>
      <c r="Y108" s="541"/>
      <c r="Z108" s="541"/>
      <c r="AA108" s="557"/>
      <c r="AB108" s="641"/>
      <c r="AC108" s="1072"/>
      <c r="AE108" s="537" t="s">
        <v>722</v>
      </c>
      <c r="AF108" s="538"/>
      <c r="AJ108" s="537" t="s">
        <v>740</v>
      </c>
    </row>
    <row r="109" spans="1:36" ht="15.75" customHeight="1" thickBot="1">
      <c r="A109" s="1072"/>
      <c r="B109" s="1072"/>
      <c r="C109" s="1072"/>
      <c r="D109" s="488"/>
      <c r="E109" s="1335"/>
      <c r="F109" s="1336"/>
      <c r="G109" s="1335"/>
      <c r="H109" s="1336"/>
      <c r="I109" s="1237"/>
      <c r="J109" s="1304"/>
      <c r="K109" s="1089" t="s">
        <v>772</v>
      </c>
      <c r="L109" s="1231" t="s">
        <v>1311</v>
      </c>
      <c r="M109" s="1231"/>
      <c r="N109" s="1231"/>
      <c r="O109" s="1231"/>
      <c r="P109" s="1232"/>
      <c r="Q109" s="497"/>
      <c r="R109" s="1093" t="s">
        <v>1095</v>
      </c>
      <c r="S109" s="528"/>
      <c r="T109" s="689"/>
      <c r="U109" s="689"/>
      <c r="V109" s="555"/>
      <c r="W109" s="555"/>
      <c r="X109" s="555"/>
      <c r="Y109" s="555"/>
      <c r="Z109" s="555"/>
      <c r="AA109" s="554"/>
      <c r="AB109" s="641"/>
      <c r="AC109" s="1072"/>
    </row>
    <row r="110" spans="1:36" ht="15.75" customHeight="1" thickBot="1">
      <c r="A110" s="1072"/>
      <c r="B110" s="1072"/>
      <c r="C110" s="1072"/>
      <c r="D110" s="488"/>
      <c r="E110" s="1335"/>
      <c r="F110" s="1336"/>
      <c r="G110" s="1335"/>
      <c r="H110" s="1336"/>
      <c r="I110" s="1237"/>
      <c r="J110" s="1304"/>
      <c r="K110" s="1089" t="s">
        <v>771</v>
      </c>
      <c r="L110" s="1249" t="s">
        <v>1315</v>
      </c>
      <c r="M110" s="1249"/>
      <c r="N110" s="1249"/>
      <c r="O110" s="1249"/>
      <c r="P110" s="1250"/>
      <c r="Q110" s="497"/>
      <c r="R110" s="1093" t="s">
        <v>1095</v>
      </c>
      <c r="S110" s="575"/>
      <c r="T110" s="589">
        <f t="shared" ref="T110:T116" si="2">IF($R110="ja",$S110,IF($R110="neen","0,00 m²",IF($R110="à encoder","/")))</f>
        <v>0</v>
      </c>
      <c r="U110" s="589">
        <f>IF($R110="ja",$S110*0,IF($R110="neen","0,00 m²",IF($R110="à encoder","/")))</f>
        <v>0</v>
      </c>
      <c r="V110" s="1201" t="str">
        <f>IF(SUM(T110:T112)&gt;(M17-M19),"Geveloppervlakte niet in overeenstemming met opgegeven karakteristieken",IF(OR(T51&lt;&gt;T86,T51&lt;&gt;T111,T86&lt;&gt;T111,T53&lt;&gt;T88,T88&lt;&gt;T112,T112&lt;&gt;T53),"Geveloppervlakte niet in overeenstemming met opgegeven karakteristieken A2.1 of B1.2",""))</f>
        <v>Geveloppervlakte niet in overeenstemming met opgegeven karakteristieken A2.1 of B1.2</v>
      </c>
      <c r="W110" s="1201"/>
      <c r="X110" s="1201"/>
      <c r="Y110" s="1201"/>
      <c r="Z110" s="1201"/>
      <c r="AA110" s="1157">
        <f>SUM(T110:T112)/(M17-M19)</f>
        <v>0</v>
      </c>
      <c r="AB110" s="641"/>
      <c r="AC110" s="1072"/>
      <c r="AF110" s="688" t="s">
        <v>766</v>
      </c>
    </row>
    <row r="111" spans="1:36" ht="15.75" customHeight="1" thickBot="1">
      <c r="A111" s="1072"/>
      <c r="B111" s="1072"/>
      <c r="C111" s="1072"/>
      <c r="D111" s="488"/>
      <c r="E111" s="1335"/>
      <c r="F111" s="1336"/>
      <c r="G111" s="1335"/>
      <c r="H111" s="1336"/>
      <c r="I111" s="1237"/>
      <c r="J111" s="1304"/>
      <c r="K111" s="1089" t="s">
        <v>770</v>
      </c>
      <c r="L111" s="1249" t="s">
        <v>1312</v>
      </c>
      <c r="M111" s="1249"/>
      <c r="N111" s="1249"/>
      <c r="O111" s="1249"/>
      <c r="P111" s="1250"/>
      <c r="Q111" s="497"/>
      <c r="R111" s="1093" t="s">
        <v>1095</v>
      </c>
      <c r="S111" s="575"/>
      <c r="T111" s="589">
        <f t="shared" si="2"/>
        <v>0</v>
      </c>
      <c r="U111" s="589">
        <f>IF($R111="ja",$S111*1,IF($R111="neen","0,00 m²",IF($R111="à encoder","/")))</f>
        <v>0</v>
      </c>
      <c r="V111" s="1201"/>
      <c r="W111" s="1201"/>
      <c r="X111" s="1201"/>
      <c r="Y111" s="1201"/>
      <c r="Z111" s="1201"/>
      <c r="AA111" s="1157"/>
      <c r="AB111" s="641"/>
      <c r="AC111" s="1072"/>
      <c r="AF111" s="538" t="s">
        <v>762</v>
      </c>
    </row>
    <row r="112" spans="1:36" ht="15.75" customHeight="1" thickBot="1">
      <c r="A112" s="1072"/>
      <c r="B112" s="1072"/>
      <c r="C112" s="1072"/>
      <c r="D112" s="488"/>
      <c r="E112" s="1335"/>
      <c r="F112" s="1336"/>
      <c r="G112" s="1335"/>
      <c r="H112" s="1336"/>
      <c r="I112" s="1237"/>
      <c r="J112" s="1304"/>
      <c r="K112" s="1089" t="s">
        <v>769</v>
      </c>
      <c r="L112" s="1249" t="s">
        <v>1313</v>
      </c>
      <c r="M112" s="1249"/>
      <c r="N112" s="1249"/>
      <c r="O112" s="1249"/>
      <c r="P112" s="1250"/>
      <c r="Q112" s="497"/>
      <c r="R112" s="1093" t="s">
        <v>1095</v>
      </c>
      <c r="S112" s="575"/>
      <c r="T112" s="589">
        <f t="shared" si="2"/>
        <v>0</v>
      </c>
      <c r="U112" s="589">
        <f>IF($R112="ja",$S112*1,IF($R112="neen","0,00 m²",IF($R112="à encoder","/")))</f>
        <v>0</v>
      </c>
      <c r="V112" s="1201"/>
      <c r="W112" s="1201"/>
      <c r="X112" s="1201"/>
      <c r="Y112" s="1201"/>
      <c r="Z112" s="1201"/>
      <c r="AA112" s="1157"/>
      <c r="AB112" s="641"/>
      <c r="AC112" s="1072"/>
      <c r="AF112" s="538" t="s">
        <v>762</v>
      </c>
    </row>
    <row r="113" spans="1:36" ht="15.75" customHeight="1" thickBot="1">
      <c r="A113" s="1072"/>
      <c r="B113" s="1072"/>
      <c r="C113" s="1072"/>
      <c r="D113" s="488"/>
      <c r="E113" s="1335"/>
      <c r="F113" s="1336"/>
      <c r="G113" s="1335"/>
      <c r="H113" s="1336"/>
      <c r="I113" s="1237"/>
      <c r="J113" s="1304"/>
      <c r="K113" s="1089" t="s">
        <v>768</v>
      </c>
      <c r="L113" s="1249" t="s">
        <v>1314</v>
      </c>
      <c r="M113" s="1249"/>
      <c r="N113" s="1249"/>
      <c r="O113" s="1249"/>
      <c r="P113" s="1250"/>
      <c r="Q113" s="497"/>
      <c r="R113" s="1093" t="s">
        <v>1095</v>
      </c>
      <c r="S113" s="687"/>
      <c r="T113" s="589">
        <f t="shared" si="2"/>
        <v>0</v>
      </c>
      <c r="U113" s="589">
        <f>IF($R113="ja",$S113*1,IF($R113="neen","0,00 m²",IF($R113="à encoder","/")))</f>
        <v>0</v>
      </c>
      <c r="V113" s="1201" t="e">
        <v>#VALUE!</v>
      </c>
      <c r="W113" s="1201"/>
      <c r="X113" s="1201"/>
      <c r="Y113" s="1201"/>
      <c r="Z113" s="1201"/>
      <c r="AA113" s="1157">
        <f>SUM(T113:T116)/M15</f>
        <v>0</v>
      </c>
      <c r="AB113" s="641"/>
      <c r="AC113" s="1072"/>
      <c r="AF113" s="538" t="s">
        <v>762</v>
      </c>
    </row>
    <row r="114" spans="1:36" ht="15.75" customHeight="1" thickBot="1">
      <c r="A114" s="1072"/>
      <c r="B114" s="1072"/>
      <c r="C114" s="1072"/>
      <c r="D114" s="488"/>
      <c r="E114" s="1335"/>
      <c r="F114" s="1336"/>
      <c r="G114" s="1335"/>
      <c r="H114" s="1336"/>
      <c r="I114" s="1237"/>
      <c r="J114" s="1304"/>
      <c r="K114" s="1089" t="s">
        <v>767</v>
      </c>
      <c r="L114" s="1249" t="s">
        <v>1316</v>
      </c>
      <c r="M114" s="1249"/>
      <c r="N114" s="1249"/>
      <c r="O114" s="1249"/>
      <c r="P114" s="1250"/>
      <c r="Q114" s="497"/>
      <c r="R114" s="1093" t="s">
        <v>1095</v>
      </c>
      <c r="S114" s="687"/>
      <c r="T114" s="589">
        <f t="shared" si="2"/>
        <v>0</v>
      </c>
      <c r="U114" s="589">
        <f>IF($R114="ja",$S114*0,IF($R114="neen","0,00 m²",IF($R114="à encoder","/")))</f>
        <v>0</v>
      </c>
      <c r="V114" s="1201"/>
      <c r="W114" s="1201"/>
      <c r="X114" s="1201"/>
      <c r="Y114" s="1201"/>
      <c r="Z114" s="1201"/>
      <c r="AA114" s="1157"/>
      <c r="AB114" s="641"/>
      <c r="AC114" s="1072"/>
      <c r="AF114" s="688" t="s">
        <v>766</v>
      </c>
    </row>
    <row r="115" spans="1:36" ht="15.75" customHeight="1" thickBot="1">
      <c r="A115" s="1072"/>
      <c r="B115" s="1072"/>
      <c r="C115" s="1072"/>
      <c r="D115" s="488"/>
      <c r="E115" s="1335"/>
      <c r="F115" s="1336"/>
      <c r="G115" s="1335"/>
      <c r="H115" s="1336"/>
      <c r="I115" s="1237"/>
      <c r="J115" s="1304"/>
      <c r="K115" s="1089" t="s">
        <v>765</v>
      </c>
      <c r="L115" s="1249" t="s">
        <v>1139</v>
      </c>
      <c r="M115" s="1249"/>
      <c r="N115" s="1249"/>
      <c r="O115" s="1249"/>
      <c r="P115" s="1250"/>
      <c r="Q115" s="497"/>
      <c r="R115" s="1093" t="s">
        <v>1095</v>
      </c>
      <c r="S115" s="687"/>
      <c r="T115" s="589">
        <f t="shared" si="2"/>
        <v>0</v>
      </c>
      <c r="U115" s="589">
        <f>IF($R115="ja",$S115*1,IF($R115="neen","0,00 m²",IF($R115="à encoder","/")))</f>
        <v>0</v>
      </c>
      <c r="V115" s="1201"/>
      <c r="W115" s="1201"/>
      <c r="X115" s="1201"/>
      <c r="Y115" s="1201"/>
      <c r="Z115" s="1201"/>
      <c r="AA115" s="1157"/>
      <c r="AB115" s="641"/>
      <c r="AC115" s="1072"/>
      <c r="AF115" s="538" t="s">
        <v>762</v>
      </c>
    </row>
    <row r="116" spans="1:36" ht="15.75" customHeight="1" thickBot="1">
      <c r="A116" s="1072"/>
      <c r="B116" s="1072"/>
      <c r="C116" s="1072"/>
      <c r="D116" s="488"/>
      <c r="E116" s="1335"/>
      <c r="F116" s="1336"/>
      <c r="G116" s="1335"/>
      <c r="H116" s="1336"/>
      <c r="I116" s="1237"/>
      <c r="J116" s="1304"/>
      <c r="K116" s="1089" t="s">
        <v>764</v>
      </c>
      <c r="L116" s="1249" t="s">
        <v>1317</v>
      </c>
      <c r="M116" s="1249"/>
      <c r="N116" s="1249"/>
      <c r="O116" s="1249"/>
      <c r="P116" s="1250"/>
      <c r="Q116" s="497"/>
      <c r="R116" s="1093" t="s">
        <v>1095</v>
      </c>
      <c r="S116" s="687"/>
      <c r="T116" s="589">
        <f t="shared" si="2"/>
        <v>0</v>
      </c>
      <c r="U116" s="589">
        <f>IF($R116="ja",$S116*1,IF($R116="neen","0,00 m²",IF($R116="à encoder","/")))</f>
        <v>0</v>
      </c>
      <c r="V116" s="1201"/>
      <c r="W116" s="1201"/>
      <c r="X116" s="1201"/>
      <c r="Y116" s="1201"/>
      <c r="Z116" s="1201"/>
      <c r="AA116" s="1157"/>
      <c r="AB116" s="641"/>
      <c r="AC116" s="1072"/>
      <c r="AF116" s="538" t="s">
        <v>762</v>
      </c>
    </row>
    <row r="117" spans="1:36" ht="15.75" customHeight="1" thickBot="1">
      <c r="A117" s="1072"/>
      <c r="B117" s="1072"/>
      <c r="C117" s="1072"/>
      <c r="D117" s="488"/>
      <c r="E117" s="1335"/>
      <c r="F117" s="1336"/>
      <c r="G117" s="1335"/>
      <c r="H117" s="1336"/>
      <c r="I117" s="1237"/>
      <c r="J117" s="1304"/>
      <c r="K117" s="1089" t="s">
        <v>763</v>
      </c>
      <c r="L117" s="1249" t="s">
        <v>1478</v>
      </c>
      <c r="M117" s="1249"/>
      <c r="N117" s="1249"/>
      <c r="O117" s="1249"/>
      <c r="P117" s="1250"/>
      <c r="Q117" s="497"/>
      <c r="R117" s="1093" t="s">
        <v>1095</v>
      </c>
      <c r="S117" s="528"/>
      <c r="T117" s="533">
        <f>IF($R117="ja",1,IF($R117="neen",0,IF($R117="ja&gt;75%",0.75,IF($R117="ja&gt;50%",0.5,IF($R117="ja&gt;25%",0.25,IF($R117="à encoder","/"))))))</f>
        <v>1</v>
      </c>
      <c r="U117" s="589"/>
      <c r="V117" s="555"/>
      <c r="W117" s="555"/>
      <c r="X117" s="555"/>
      <c r="Y117" s="555"/>
      <c r="Z117" s="555"/>
      <c r="AA117" s="554"/>
      <c r="AB117" s="641"/>
      <c r="AC117" s="1072"/>
      <c r="AJ117" s="538" t="s">
        <v>762</v>
      </c>
    </row>
    <row r="118" spans="1:36" ht="15.75" customHeight="1" thickBot="1">
      <c r="A118" s="1072"/>
      <c r="B118" s="1072"/>
      <c r="C118" s="1072"/>
      <c r="D118" s="488"/>
      <c r="E118" s="1335"/>
      <c r="F118" s="1336"/>
      <c r="G118" s="1335"/>
      <c r="H118" s="1336"/>
      <c r="I118" s="1237"/>
      <c r="J118" s="1304"/>
      <c r="K118" s="1089" t="s">
        <v>761</v>
      </c>
      <c r="L118" s="1248" t="s">
        <v>1318</v>
      </c>
      <c r="M118" s="1249"/>
      <c r="N118" s="1249"/>
      <c r="O118" s="1249"/>
      <c r="P118" s="1250"/>
      <c r="Q118" s="497"/>
      <c r="R118" s="1093" t="s">
        <v>1095</v>
      </c>
      <c r="S118" s="528"/>
      <c r="T118" s="527"/>
      <c r="U118" s="531" t="s">
        <v>665</v>
      </c>
      <c r="V118" s="523" t="s">
        <v>664</v>
      </c>
      <c r="W118" s="523" t="s">
        <v>663</v>
      </c>
      <c r="X118" s="523" t="s">
        <v>662</v>
      </c>
      <c r="Y118" s="523" t="s">
        <v>753</v>
      </c>
      <c r="Z118" s="555"/>
      <c r="AA118" s="530" t="s">
        <v>391</v>
      </c>
      <c r="AB118" s="641"/>
      <c r="AC118" s="1072"/>
    </row>
    <row r="119" spans="1:36" ht="15.75" customHeight="1" thickBot="1">
      <c r="A119" s="1072"/>
      <c r="B119" s="1072"/>
      <c r="C119" s="1072"/>
      <c r="D119" s="488"/>
      <c r="E119" s="1337"/>
      <c r="F119" s="1338"/>
      <c r="G119" s="1337"/>
      <c r="H119" s="1338"/>
      <c r="I119" s="1239"/>
      <c r="J119" s="1305"/>
      <c r="K119" s="1089" t="s">
        <v>760</v>
      </c>
      <c r="L119" s="1331" t="s">
        <v>1319</v>
      </c>
      <c r="M119" s="1331"/>
      <c r="N119" s="1331"/>
      <c r="O119" s="1331"/>
      <c r="P119" s="1332"/>
      <c r="Q119" s="497"/>
      <c r="R119" s="572"/>
      <c r="S119" s="678">
        <f>O15-M19</f>
        <v>400</v>
      </c>
      <c r="T119" s="527"/>
      <c r="U119" s="587" t="str">
        <f>IF(R108="à encoder","/",R108)</f>
        <v>ja</v>
      </c>
      <c r="V119" s="587" t="str">
        <f>IF(R109="à encoder","/",R109)</f>
        <v>ja</v>
      </c>
      <c r="W119" s="686">
        <f>IF(Z119="/","/",IF(ISERROR(Z119)=TRUE,"/",IF(Z119&lt;=100%,SUM(U110:U116)/S119,"FAUX")))</f>
        <v>0</v>
      </c>
      <c r="X119" s="686">
        <f>IF(R117="à encoder","/",T117)</f>
        <v>1</v>
      </c>
      <c r="Y119" s="587" t="str">
        <f>IF(R118="à encoder","/",R118)</f>
        <v>ja</v>
      </c>
      <c r="Z119" s="573">
        <f>IF(S120="/","/",1-S120/S119)</f>
        <v>0</v>
      </c>
      <c r="AA119" s="522">
        <f>IF(OR(U119="/",V119="/",W119="/",X119="/",Y119="/"),"/",IF(OR(Z119&gt;100%,AA110&gt;100%,AA113&gt;100%),"/",IF(AND(($U119="ja"),($V119="ja"),($W119&gt;=90%),(X119&gt;=75%),(Y119="ja")),"4",IF(AND(($U119="ja"),($V119="ja"),($W119&gt;=75%),(X119&gt;=75%)),"3",IF(AND(($V119="ja"),($W119&gt;=50%),(X119&gt;=50%)),"2",IF(AND(($W119&gt;=25%),(X119&gt;=25%)),"1",0))))))</f>
        <v>0</v>
      </c>
      <c r="AB119" s="641"/>
      <c r="AC119" s="1072"/>
    </row>
    <row r="120" spans="1:36" ht="23.25" thickBot="1">
      <c r="A120" s="1072"/>
      <c r="B120" s="1072"/>
      <c r="C120" s="1072"/>
      <c r="D120" s="488"/>
      <c r="E120" s="1375" t="s">
        <v>1121</v>
      </c>
      <c r="F120" s="1376"/>
      <c r="G120" s="1375" t="s">
        <v>1122</v>
      </c>
      <c r="H120" s="1376"/>
      <c r="I120" s="1085" t="s">
        <v>681</v>
      </c>
      <c r="J120" s="1367" t="s">
        <v>1320</v>
      </c>
      <c r="K120" s="1368"/>
      <c r="L120" s="1368"/>
      <c r="M120" s="1368"/>
      <c r="N120" s="1368"/>
      <c r="O120" s="1368"/>
      <c r="P120" s="1369"/>
      <c r="Q120" s="497"/>
      <c r="R120" s="675" t="s">
        <v>708</v>
      </c>
      <c r="S120" s="585">
        <f>IF(OR(R110="à encoder",R111="à encoder",R112="à encoder",R113="à encoder",R114="à encoder",R115="à encoder",R116="à encoder"),"/",S119-SUMIF(R110:R116,"ja",S110:S116))</f>
        <v>400</v>
      </c>
      <c r="T120" s="564"/>
      <c r="U120" s="519" t="s">
        <v>1490</v>
      </c>
      <c r="V120" s="519" t="s">
        <v>1491</v>
      </c>
      <c r="W120" s="519" t="s">
        <v>1484</v>
      </c>
      <c r="X120" s="519" t="s">
        <v>1492</v>
      </c>
      <c r="Y120" s="519" t="s">
        <v>1493</v>
      </c>
      <c r="Z120" s="584"/>
      <c r="AA120" s="685"/>
      <c r="AB120" s="641"/>
      <c r="AC120" s="1072"/>
    </row>
    <row r="121" spans="1:36" ht="15.75" customHeight="1" thickBot="1">
      <c r="A121" s="1072"/>
      <c r="B121" s="1072"/>
      <c r="C121" s="1072"/>
      <c r="D121" s="488"/>
      <c r="E121" s="1333" t="s">
        <v>672</v>
      </c>
      <c r="F121" s="1334"/>
      <c r="G121" s="1386" t="s">
        <v>672</v>
      </c>
      <c r="H121" s="1387"/>
      <c r="I121" s="1322" t="s">
        <v>679</v>
      </c>
      <c r="J121" s="1086" t="s">
        <v>1127</v>
      </c>
      <c r="K121" s="1311" t="s">
        <v>1468</v>
      </c>
      <c r="L121" s="1312"/>
      <c r="M121" s="1091" t="s">
        <v>641</v>
      </c>
      <c r="N121" s="1091" t="s">
        <v>639</v>
      </c>
      <c r="O121" s="1091" t="s">
        <v>638</v>
      </c>
      <c r="P121" s="1092" t="s">
        <v>636</v>
      </c>
      <c r="Q121" s="497"/>
      <c r="R121" s="496"/>
      <c r="S121" s="497"/>
      <c r="T121" s="496"/>
      <c r="U121" s="496"/>
      <c r="V121" s="497"/>
      <c r="W121" s="497"/>
      <c r="X121" s="497"/>
      <c r="Y121" s="497"/>
      <c r="Z121" s="497"/>
      <c r="AA121" s="497"/>
      <c r="AB121" s="485"/>
      <c r="AC121" s="1072"/>
    </row>
    <row r="122" spans="1:36" ht="66.75" thickBot="1">
      <c r="A122" s="1072"/>
      <c r="B122" s="1072"/>
      <c r="C122" s="1072"/>
      <c r="D122" s="488"/>
      <c r="E122" s="1335"/>
      <c r="F122" s="1336"/>
      <c r="G122" s="1388"/>
      <c r="H122" s="1389"/>
      <c r="I122" s="1323"/>
      <c r="J122" s="1087" t="s">
        <v>1135</v>
      </c>
      <c r="K122" s="1160" t="s">
        <v>1321</v>
      </c>
      <c r="L122" s="1161"/>
      <c r="M122" s="684" t="s">
        <v>1322</v>
      </c>
      <c r="N122" s="600" t="s">
        <v>1323</v>
      </c>
      <c r="O122" s="600" t="s">
        <v>1324</v>
      </c>
      <c r="P122" s="600" t="s">
        <v>1325</v>
      </c>
      <c r="Q122" s="497"/>
      <c r="R122" s="496"/>
      <c r="S122" s="497"/>
      <c r="T122" s="496"/>
      <c r="U122" s="496"/>
      <c r="V122" s="497"/>
      <c r="W122" s="497"/>
      <c r="X122" s="497"/>
      <c r="Y122" s="497"/>
      <c r="Z122" s="497"/>
      <c r="AA122" s="497"/>
      <c r="AB122" s="485"/>
      <c r="AC122" s="1072"/>
      <c r="AE122" s="537" t="s">
        <v>702</v>
      </c>
      <c r="AF122" s="538"/>
      <c r="AH122" s="537" t="s">
        <v>722</v>
      </c>
    </row>
    <row r="123" spans="1:36" ht="15.75" customHeight="1" thickBot="1">
      <c r="A123" s="1072"/>
      <c r="B123" s="1072"/>
      <c r="C123" s="1072"/>
      <c r="D123" s="488"/>
      <c r="E123" s="1335"/>
      <c r="F123" s="1336"/>
      <c r="G123" s="1388"/>
      <c r="H123" s="1389"/>
      <c r="I123" s="1323"/>
      <c r="J123" s="1407" t="s">
        <v>1132</v>
      </c>
      <c r="K123" s="1088" t="s">
        <v>678</v>
      </c>
      <c r="L123" s="1300" t="s">
        <v>1326</v>
      </c>
      <c r="M123" s="1301"/>
      <c r="N123" s="1301"/>
      <c r="O123" s="1301"/>
      <c r="P123" s="1302"/>
      <c r="Q123" s="497"/>
      <c r="R123" s="1094" t="s">
        <v>1145</v>
      </c>
      <c r="S123" s="543"/>
      <c r="T123" s="542">
        <f>IF($R123="ja",1,IF($R123="neen",0,IF($R123="ja&gt;75%",0.75,IF($R123="ja&gt;50%",0.5,IF($R123="ja&gt;25%",0.25,IF($R123="à encoder","/"))))))</f>
        <v>0.25</v>
      </c>
      <c r="U123" s="541"/>
      <c r="V123" s="541"/>
      <c r="W123" s="541"/>
      <c r="X123" s="541"/>
      <c r="Y123" s="541"/>
      <c r="Z123" s="540"/>
      <c r="AA123" s="539"/>
      <c r="AB123" s="485"/>
      <c r="AC123" s="1072"/>
      <c r="AE123" s="576" t="s">
        <v>757</v>
      </c>
      <c r="AI123" s="538"/>
    </row>
    <row r="124" spans="1:36" ht="15.75" customHeight="1" thickBot="1">
      <c r="A124" s="1072"/>
      <c r="B124" s="1072"/>
      <c r="C124" s="1072"/>
      <c r="D124" s="488"/>
      <c r="E124" s="1335"/>
      <c r="F124" s="1336"/>
      <c r="G124" s="1388"/>
      <c r="H124" s="1389"/>
      <c r="I124" s="1323"/>
      <c r="J124" s="1408"/>
      <c r="K124" s="1089" t="s">
        <v>677</v>
      </c>
      <c r="L124" s="1230" t="s">
        <v>1327</v>
      </c>
      <c r="M124" s="1231"/>
      <c r="N124" s="1231"/>
      <c r="O124" s="1231"/>
      <c r="P124" s="1232"/>
      <c r="Q124" s="497"/>
      <c r="R124" s="1094" t="s">
        <v>1145</v>
      </c>
      <c r="S124" s="534"/>
      <c r="T124" s="533">
        <f>IF($R124="ja",1,IF($R124="neen",0,IF($R124="ja&gt;75%",0.75,IF($R124="ja&gt;50%",0.5,IF($R124="ja&gt;25%",0.25,IF($R124="à encoder","/"))))))</f>
        <v>0.25</v>
      </c>
      <c r="U124" s="523"/>
      <c r="V124" s="523"/>
      <c r="W124" s="523"/>
      <c r="X124" s="523"/>
      <c r="Y124" s="523"/>
      <c r="Z124" s="523"/>
      <c r="AA124" s="536"/>
      <c r="AB124" s="485"/>
      <c r="AC124" s="1072"/>
      <c r="AE124" s="576" t="s">
        <v>757</v>
      </c>
      <c r="AF124" s="538"/>
      <c r="AI124" s="538"/>
    </row>
    <row r="125" spans="1:36" ht="15.75" customHeight="1" thickBot="1">
      <c r="A125" s="1072"/>
      <c r="B125" s="1072"/>
      <c r="C125" s="1072"/>
      <c r="D125" s="488"/>
      <c r="E125" s="1335"/>
      <c r="F125" s="1336"/>
      <c r="G125" s="1388"/>
      <c r="H125" s="1389"/>
      <c r="I125" s="1323"/>
      <c r="J125" s="1408"/>
      <c r="K125" s="1089" t="s">
        <v>676</v>
      </c>
      <c r="L125" s="1230" t="s">
        <v>1328</v>
      </c>
      <c r="M125" s="1231"/>
      <c r="N125" s="1231"/>
      <c r="O125" s="1231"/>
      <c r="P125" s="1232"/>
      <c r="Q125" s="497"/>
      <c r="R125" s="1094" t="s">
        <v>1145</v>
      </c>
      <c r="S125" s="678"/>
      <c r="T125" s="682">
        <f>IF($R125="ja",$S125,IF($R125="neen","0,00 m²",IF($R125="ja&gt;75%",S125*0.75,IF($R125="ja&gt;50%",S125*0.5,IF($R125="ja&gt;25%",S125*0.25,IF($R125="à encoder","/"))))))</f>
        <v>0</v>
      </c>
      <c r="U125" s="555"/>
      <c r="V125" s="523"/>
      <c r="W125" s="523"/>
      <c r="X125" s="523"/>
      <c r="Y125" s="523"/>
      <c r="Z125" s="683"/>
      <c r="AA125" s="530"/>
      <c r="AB125" s="485"/>
      <c r="AC125" s="1072"/>
      <c r="AE125" s="576" t="s">
        <v>757</v>
      </c>
      <c r="AF125" s="538"/>
      <c r="AI125" s="538"/>
    </row>
    <row r="126" spans="1:36" ht="15.75" customHeight="1" thickBot="1">
      <c r="A126" s="1072"/>
      <c r="B126" s="1072"/>
      <c r="C126" s="1072"/>
      <c r="D126" s="488"/>
      <c r="E126" s="1335"/>
      <c r="F126" s="1336"/>
      <c r="G126" s="1388"/>
      <c r="H126" s="1389"/>
      <c r="I126" s="1323"/>
      <c r="J126" s="1408"/>
      <c r="K126" s="1089" t="s">
        <v>675</v>
      </c>
      <c r="L126" s="1230" t="s">
        <v>1329</v>
      </c>
      <c r="M126" s="1231"/>
      <c r="N126" s="1231"/>
      <c r="O126" s="1231"/>
      <c r="P126" s="1232"/>
      <c r="Q126" s="497"/>
      <c r="R126" s="1094" t="s">
        <v>1145</v>
      </c>
      <c r="S126" s="678"/>
      <c r="T126" s="682">
        <f>IF($R126="ja",$S126,IF($R126="neen","0,00 m²",IF($R126="ja&gt;75%",S126*0.75,IF($R126="ja&gt;50%",S126*0.5,IF($R126="ja&gt;25%",S126*0.25,IF($R126="à encoder","/"))))))</f>
        <v>0</v>
      </c>
      <c r="U126" s="555"/>
      <c r="V126" s="523"/>
      <c r="W126" s="523"/>
      <c r="X126" s="523"/>
      <c r="Y126" s="523"/>
      <c r="Z126" s="683"/>
      <c r="AA126" s="530"/>
      <c r="AB126" s="485"/>
      <c r="AC126" s="1072"/>
      <c r="AE126" s="576" t="s">
        <v>757</v>
      </c>
      <c r="AF126" s="538"/>
      <c r="AI126" s="538"/>
    </row>
    <row r="127" spans="1:36" ht="15.75" customHeight="1" thickBot="1">
      <c r="A127" s="1072"/>
      <c r="B127" s="1072"/>
      <c r="C127" s="1072"/>
      <c r="D127" s="488"/>
      <c r="E127" s="1335"/>
      <c r="F127" s="1336"/>
      <c r="G127" s="1388"/>
      <c r="H127" s="1389"/>
      <c r="I127" s="1323"/>
      <c r="J127" s="1408"/>
      <c r="K127" s="1089" t="s">
        <v>759</v>
      </c>
      <c r="L127" s="1230" t="s">
        <v>1330</v>
      </c>
      <c r="M127" s="1231"/>
      <c r="N127" s="1231"/>
      <c r="O127" s="1231"/>
      <c r="P127" s="1232"/>
      <c r="Q127" s="497"/>
      <c r="R127" s="1094" t="s">
        <v>1147</v>
      </c>
      <c r="S127" s="678"/>
      <c r="T127" s="682">
        <f>IF($R127="ja",$S127,IF($R127="neen","0,00 m²",IF($R127="ja&gt;75%",S127*0.75,IF($R127="ja&gt;50%",S127*0.5,IF($R127="ja&gt;25%",S127*0.25,IF($R127="à encoder","/"))))))</f>
        <v>0</v>
      </c>
      <c r="U127" s="523"/>
      <c r="V127" s="555"/>
      <c r="W127" s="555"/>
      <c r="X127" s="555"/>
      <c r="Y127" s="555"/>
      <c r="Z127" s="523"/>
      <c r="AA127" s="536"/>
      <c r="AB127" s="485"/>
      <c r="AC127" s="1072"/>
      <c r="AE127" s="576" t="s">
        <v>757</v>
      </c>
      <c r="AF127" s="538"/>
      <c r="AI127" s="538"/>
    </row>
    <row r="128" spans="1:36" ht="18" customHeight="1" thickBot="1">
      <c r="A128" s="1072"/>
      <c r="B128" s="1072"/>
      <c r="C128" s="1072"/>
      <c r="D128" s="488"/>
      <c r="E128" s="1335"/>
      <c r="F128" s="1336"/>
      <c r="G128" s="1388"/>
      <c r="H128" s="1389"/>
      <c r="I128" s="1323"/>
      <c r="J128" s="1408"/>
      <c r="K128" s="1089" t="s">
        <v>758</v>
      </c>
      <c r="L128" s="1248" t="s">
        <v>1331</v>
      </c>
      <c r="M128" s="1249"/>
      <c r="N128" s="1249"/>
      <c r="O128" s="1249"/>
      <c r="P128" s="1250"/>
      <c r="Q128" s="497"/>
      <c r="R128" s="1094" t="s">
        <v>1145</v>
      </c>
      <c r="S128" s="678"/>
      <c r="T128" s="682">
        <f>IF($R128="ja",$S128,IF($R128="neen","0,00 m²",IF($R128="ja&gt;75%",S128*0.75,IF($R128="ja&gt;50%",S128*0.5,IF($R128="ja&gt;25%",S128*0.25,IF($R128="à encoder","/"))))))</f>
        <v>0</v>
      </c>
      <c r="U128" s="523"/>
      <c r="V128" s="555"/>
      <c r="W128" s="555"/>
      <c r="X128" s="555"/>
      <c r="Y128" s="555"/>
      <c r="Z128" s="523"/>
      <c r="AA128" s="536"/>
      <c r="AB128" s="485"/>
      <c r="AC128" s="1072"/>
      <c r="AE128" s="576" t="s">
        <v>757</v>
      </c>
    </row>
    <row r="129" spans="1:36" ht="15.75" customHeight="1" thickBot="1">
      <c r="A129" s="1072"/>
      <c r="B129" s="1072"/>
      <c r="C129" s="1072"/>
      <c r="D129" s="488"/>
      <c r="E129" s="1335"/>
      <c r="F129" s="1336"/>
      <c r="G129" s="1388"/>
      <c r="H129" s="1389"/>
      <c r="I129" s="1323"/>
      <c r="J129" s="1408"/>
      <c r="K129" s="1089" t="s">
        <v>756</v>
      </c>
      <c r="L129" s="1248" t="s">
        <v>1332</v>
      </c>
      <c r="M129" s="1249"/>
      <c r="N129" s="1249"/>
      <c r="O129" s="1249"/>
      <c r="P129" s="1250"/>
      <c r="Q129" s="497"/>
      <c r="R129" s="1093" t="s">
        <v>1096</v>
      </c>
      <c r="S129" s="523"/>
      <c r="T129" s="523"/>
      <c r="U129" s="523"/>
      <c r="V129" s="555"/>
      <c r="W129" s="523"/>
      <c r="X129" s="523"/>
      <c r="Y129" s="523"/>
      <c r="Z129" s="523"/>
      <c r="AA129" s="536"/>
      <c r="AB129" s="485"/>
      <c r="AC129" s="1072"/>
    </row>
    <row r="130" spans="1:36" ht="15.75" customHeight="1" thickBot="1">
      <c r="A130" s="1072"/>
      <c r="B130" s="1072"/>
      <c r="C130" s="1072"/>
      <c r="D130" s="488"/>
      <c r="E130" s="1335"/>
      <c r="F130" s="1336"/>
      <c r="G130" s="1388"/>
      <c r="H130" s="1389"/>
      <c r="I130" s="1323"/>
      <c r="J130" s="1408"/>
      <c r="K130" s="1089" t="s">
        <v>755</v>
      </c>
      <c r="L130" s="1309" t="s">
        <v>1333</v>
      </c>
      <c r="M130" s="1309"/>
      <c r="N130" s="1309"/>
      <c r="O130" s="1309"/>
      <c r="P130" s="1310"/>
      <c r="Q130" s="497"/>
      <c r="R130" s="1093" t="s">
        <v>1095</v>
      </c>
      <c r="S130" s="528"/>
      <c r="T130" s="570"/>
      <c r="U130" s="523"/>
      <c r="V130" s="555"/>
      <c r="W130" s="573">
        <f>IF(OR(T125="/",T126="/",T127="/",T128="/"),"/",IF((SUM(S125:S128)/S132)&lt;=100%,SUM(S125:S128)/S132,"FAUX"))</f>
        <v>0</v>
      </c>
      <c r="X130" s="523"/>
      <c r="Y130" s="523"/>
      <c r="Z130" s="523"/>
      <c r="AA130" s="536"/>
      <c r="AB130" s="485"/>
      <c r="AC130" s="1072"/>
    </row>
    <row r="131" spans="1:36" ht="15.75" customHeight="1" thickBot="1">
      <c r="A131" s="1072"/>
      <c r="B131" s="1072"/>
      <c r="C131" s="1072"/>
      <c r="D131" s="488"/>
      <c r="E131" s="1335"/>
      <c r="F131" s="1336"/>
      <c r="G131" s="1388"/>
      <c r="H131" s="1389"/>
      <c r="I131" s="1323"/>
      <c r="J131" s="1408"/>
      <c r="K131" s="1089" t="s">
        <v>754</v>
      </c>
      <c r="L131" s="1460" t="s">
        <v>1334</v>
      </c>
      <c r="M131" s="1329"/>
      <c r="N131" s="1329"/>
      <c r="O131" s="1329"/>
      <c r="P131" s="1330"/>
      <c r="Q131" s="497"/>
      <c r="R131" s="1093" t="s">
        <v>1095</v>
      </c>
      <c r="S131" s="528"/>
      <c r="T131" s="570"/>
      <c r="U131" s="531" t="s">
        <v>665</v>
      </c>
      <c r="V131" s="523" t="s">
        <v>664</v>
      </c>
      <c r="W131" s="523" t="s">
        <v>663</v>
      </c>
      <c r="X131" s="523" t="s">
        <v>662</v>
      </c>
      <c r="Y131" s="523" t="s">
        <v>753</v>
      </c>
      <c r="Z131" s="523" t="s">
        <v>752</v>
      </c>
      <c r="AA131" s="530" t="s">
        <v>391</v>
      </c>
      <c r="AB131" s="485"/>
      <c r="AC131" s="1072"/>
      <c r="AD131" s="681"/>
      <c r="AE131" s="680"/>
      <c r="AF131" s="680"/>
      <c r="AG131" s="680"/>
      <c r="AH131" s="680"/>
      <c r="AI131" s="680"/>
      <c r="AJ131" s="679"/>
    </row>
    <row r="132" spans="1:36" ht="15.75" customHeight="1" thickBot="1">
      <c r="A132" s="1072"/>
      <c r="B132" s="1072"/>
      <c r="C132" s="1072"/>
      <c r="D132" s="488"/>
      <c r="E132" s="1337"/>
      <c r="F132" s="1338"/>
      <c r="G132" s="1390"/>
      <c r="H132" s="1391"/>
      <c r="I132" s="1324"/>
      <c r="J132" s="1409"/>
      <c r="K132" s="1089" t="s">
        <v>751</v>
      </c>
      <c r="L132" s="1233" t="s">
        <v>1335</v>
      </c>
      <c r="M132" s="1234"/>
      <c r="N132" s="1234"/>
      <c r="O132" s="1234"/>
      <c r="P132" s="1235"/>
      <c r="Q132" s="497"/>
      <c r="R132" s="572"/>
      <c r="S132" s="678">
        <f>O19-M19</f>
        <v>1300</v>
      </c>
      <c r="T132" s="677"/>
      <c r="U132" s="676">
        <f>IF(R123="à encoder","/",T123)</f>
        <v>0.25</v>
      </c>
      <c r="V132" s="676">
        <f>IF(R124="à encoder","/",T124)</f>
        <v>0.25</v>
      </c>
      <c r="W132" s="602">
        <f>IF(W130="/","/",IF(ISERROR(W130)=TRUE,"/",IF(W130&lt;=100%,SUM(T125:T128)/S132,"FAUX")))</f>
        <v>0</v>
      </c>
      <c r="X132" s="602" t="str">
        <f>IF(R129="à encoder","/",R129)</f>
        <v>neen</v>
      </c>
      <c r="Y132" s="602" t="str">
        <f>IF(R130="à encoder","/",R130)</f>
        <v>ja</v>
      </c>
      <c r="Z132" s="602" t="str">
        <f>IF(R131="à encoder","/",R131)</f>
        <v>ja</v>
      </c>
      <c r="AA132" s="522" t="str">
        <f>IF(OR(U132="/",V132="/",W132="/",X132="/",Y132="/",Z132="/"),"/",IF(AND(($U132&lt;=25%),($V132&lt;=25%),($W132=25%),($X132="ja"),($Y132="ja"),($Z132="ja")),"4",IF(AND(($U132&lt;=25%),($V132&lt;=25%),($W132&lt;=50%),($X132="ja"),($Y132="ja")),"3",IF(AND(($U132&lt;=50%),($V132&lt;=50%),($W132&lt;=50%),($Y132="ja")),"2",IF(AND(($U132&lt;=75%),($V132&lt;=75%),($W132&lt;=75%)),"1",0)))))</f>
        <v>2</v>
      </c>
      <c r="AB132" s="485"/>
      <c r="AC132" s="1072"/>
    </row>
    <row r="133" spans="1:36" ht="15.75" customHeight="1" thickBot="1">
      <c r="A133" s="1072"/>
      <c r="B133" s="1072"/>
      <c r="C133" s="1072"/>
      <c r="D133" s="488"/>
      <c r="E133" s="1333" t="s">
        <v>672</v>
      </c>
      <c r="F133" s="1334"/>
      <c r="G133" s="1386" t="s">
        <v>672</v>
      </c>
      <c r="H133" s="1387"/>
      <c r="I133" s="1322" t="s">
        <v>750</v>
      </c>
      <c r="J133" s="1086" t="s">
        <v>1127</v>
      </c>
      <c r="K133" s="1311" t="s">
        <v>1336</v>
      </c>
      <c r="L133" s="1312"/>
      <c r="M133" s="1091" t="s">
        <v>641</v>
      </c>
      <c r="N133" s="1091" t="s">
        <v>639</v>
      </c>
      <c r="O133" s="1091" t="s">
        <v>638</v>
      </c>
      <c r="P133" s="1092" t="s">
        <v>636</v>
      </c>
      <c r="Q133" s="497"/>
      <c r="R133" s="675" t="s">
        <v>708</v>
      </c>
      <c r="S133" s="585">
        <f>S132-S125-S126-S127-S128</f>
        <v>1300</v>
      </c>
      <c r="T133" s="564"/>
      <c r="U133" s="519" t="s">
        <v>1494</v>
      </c>
      <c r="V133" s="519" t="s">
        <v>1495</v>
      </c>
      <c r="W133" s="519" t="s">
        <v>1496</v>
      </c>
      <c r="X133" s="519" t="s">
        <v>1483</v>
      </c>
      <c r="Y133" s="519" t="s">
        <v>1497</v>
      </c>
      <c r="Z133" s="519" t="s">
        <v>749</v>
      </c>
      <c r="AA133" s="583"/>
      <c r="AB133" s="485"/>
      <c r="AC133" s="1072"/>
    </row>
    <row r="134" spans="1:36" ht="67.5" thickBot="1">
      <c r="A134" s="1072"/>
      <c r="B134" s="1072"/>
      <c r="C134" s="1072"/>
      <c r="D134" s="488"/>
      <c r="E134" s="1335"/>
      <c r="F134" s="1336"/>
      <c r="G134" s="1388"/>
      <c r="H134" s="1389"/>
      <c r="I134" s="1323"/>
      <c r="J134" s="1087" t="s">
        <v>1135</v>
      </c>
      <c r="K134" s="1160" t="s">
        <v>1337</v>
      </c>
      <c r="L134" s="1161"/>
      <c r="M134" s="674" t="s">
        <v>1338</v>
      </c>
      <c r="N134" s="674" t="s">
        <v>1339</v>
      </c>
      <c r="O134" s="674" t="s">
        <v>1340</v>
      </c>
      <c r="P134" s="674" t="s">
        <v>1341</v>
      </c>
      <c r="Q134" s="497"/>
      <c r="R134" s="496"/>
      <c r="S134" s="497"/>
      <c r="T134" s="496"/>
      <c r="U134" s="496"/>
      <c r="V134" s="497"/>
      <c r="W134" s="497"/>
      <c r="X134" s="497"/>
      <c r="Y134" s="497"/>
      <c r="Z134" s="497"/>
      <c r="AA134" s="510"/>
      <c r="AB134" s="561"/>
      <c r="AC134" s="1072"/>
      <c r="AD134" s="560"/>
      <c r="AE134" s="537"/>
      <c r="AH134" s="537"/>
    </row>
    <row r="135" spans="1:36">
      <c r="A135" s="1072"/>
      <c r="B135" s="1072"/>
      <c r="C135" s="1072"/>
      <c r="D135" s="488"/>
      <c r="E135" s="1335"/>
      <c r="F135" s="1336"/>
      <c r="G135" s="1388"/>
      <c r="H135" s="1389"/>
      <c r="I135" s="1323"/>
      <c r="J135" s="1303" t="s">
        <v>1132</v>
      </c>
      <c r="K135" s="1461" t="s">
        <v>748</v>
      </c>
      <c r="L135" s="1227" t="s">
        <v>1342</v>
      </c>
      <c r="M135" s="1228"/>
      <c r="N135" s="1228"/>
      <c r="O135" s="1228"/>
      <c r="P135" s="1229"/>
      <c r="Q135" s="497"/>
      <c r="R135" s="1198" t="s">
        <v>1096</v>
      </c>
      <c r="S135" s="673" t="str">
        <f>IF($R135="ja","1",IF($R135="neen"," ",IF($R135="à encoder","/")))</f>
        <v xml:space="preserve"> </v>
      </c>
      <c r="T135" s="672" t="str">
        <f>IF($R135="ja","Kies materiaal kolommen --&gt;",IF($R135="neen","Ga naar volgende vraag",IF($R135="te scoren","/")))</f>
        <v>Ga naar volgende vraag</v>
      </c>
      <c r="U135" s="671"/>
      <c r="V135" s="671"/>
      <c r="W135" s="671"/>
      <c r="X135" s="1177"/>
      <c r="Y135" s="1178"/>
      <c r="Z135" s="1178"/>
      <c r="AA135" s="1179"/>
      <c r="AB135" s="641"/>
      <c r="AC135" s="1072"/>
      <c r="AE135" s="537"/>
      <c r="AF135" s="538"/>
      <c r="AH135" s="537"/>
    </row>
    <row r="136" spans="1:36" ht="15.75" thickBot="1">
      <c r="A136" s="1072"/>
      <c r="B136" s="1072"/>
      <c r="C136" s="1072"/>
      <c r="D136" s="488"/>
      <c r="E136" s="1335"/>
      <c r="F136" s="1336"/>
      <c r="G136" s="1388"/>
      <c r="H136" s="1389"/>
      <c r="I136" s="1323"/>
      <c r="J136" s="1304"/>
      <c r="K136" s="1462"/>
      <c r="L136" s="1463"/>
      <c r="M136" s="1464"/>
      <c r="N136" s="1464"/>
      <c r="O136" s="1464"/>
      <c r="P136" s="1465"/>
      <c r="Q136" s="497"/>
      <c r="R136" s="1199"/>
      <c r="S136" s="669" t="str">
        <f>IF($R135="ja","2",IF($R135="neen"," ",IF($R135="à encoder","/")))</f>
        <v xml:space="preserve"> </v>
      </c>
      <c r="T136" s="668" t="str">
        <f>IF($R135="ja","Choisir le matériau des poutres --&gt;",IF($R135="neen","Passer à la question suivante",IF($R135="à encoder","/")))</f>
        <v>Passer à la question suivante</v>
      </c>
      <c r="U136" s="670"/>
      <c r="V136" s="670"/>
      <c r="W136" s="670"/>
      <c r="X136" s="1472"/>
      <c r="Y136" s="1473"/>
      <c r="Z136" s="1473"/>
      <c r="AA136" s="1474"/>
      <c r="AB136" s="641"/>
      <c r="AC136" s="1072"/>
      <c r="AE136" s="537"/>
      <c r="AF136" s="538"/>
      <c r="AH136" s="537"/>
    </row>
    <row r="137" spans="1:36" ht="15.75" customHeight="1" thickBot="1">
      <c r="A137" s="1072"/>
      <c r="B137" s="1072"/>
      <c r="C137" s="1072"/>
      <c r="D137" s="488"/>
      <c r="E137" s="1335"/>
      <c r="F137" s="1336"/>
      <c r="G137" s="1388"/>
      <c r="H137" s="1389"/>
      <c r="I137" s="1323"/>
      <c r="J137" s="1304"/>
      <c r="K137" s="1089" t="s">
        <v>747</v>
      </c>
      <c r="L137" s="1231" t="s">
        <v>1343</v>
      </c>
      <c r="M137" s="1231"/>
      <c r="N137" s="1231"/>
      <c r="O137" s="1231"/>
      <c r="P137" s="1232"/>
      <c r="Q137" s="497"/>
      <c r="R137" s="1093" t="s">
        <v>1978</v>
      </c>
      <c r="S137" s="669" t="str">
        <f>IF(OR($R137="zwaar",$R137="licht",$R137="SANDWICH"),"1",IF($R137="neen"," ",IF($R137="te scoren","/")))</f>
        <v>1</v>
      </c>
      <c r="T137" s="668" t="str">
        <f>IF($R$137="Zwaar","Kies samenstelling ruwbouw --&gt;",IF($R$137="licht","Kies samenstelling elementen--&gt;",IF($R$137="SANDWICH","kies sandwich panelen' --&gt;",IF($R$137="te scoren","/"))))</f>
        <v>Kies samenstelling ruwbouw --&gt;</v>
      </c>
      <c r="U137" s="527"/>
      <c r="V137" s="555"/>
      <c r="W137" s="667"/>
      <c r="X137" s="1475"/>
      <c r="Y137" s="1475"/>
      <c r="Z137" s="1475"/>
      <c r="AA137" s="1476"/>
      <c r="AB137" s="641"/>
      <c r="AC137" s="1072"/>
      <c r="AF137" s="535"/>
    </row>
    <row r="138" spans="1:36" ht="15.75" customHeight="1">
      <c r="A138" s="1072"/>
      <c r="B138" s="1072"/>
      <c r="C138" s="1072"/>
      <c r="D138" s="488"/>
      <c r="E138" s="1335"/>
      <c r="F138" s="1336"/>
      <c r="G138" s="1388"/>
      <c r="H138" s="1389"/>
      <c r="I138" s="1323"/>
      <c r="J138" s="1304"/>
      <c r="K138" s="1089" t="s">
        <v>746</v>
      </c>
      <c r="L138" s="1231" t="s">
        <v>1344</v>
      </c>
      <c r="M138" s="1231"/>
      <c r="N138" s="1231"/>
      <c r="O138" s="1231"/>
      <c r="P138" s="1232"/>
      <c r="Q138" s="497"/>
      <c r="R138" s="572"/>
      <c r="S138" s="669" t="str">
        <f>IF(OR($R137="zwaar",$R137="licht",$R137="SANDWICH"),"2",IF($R137="neen"," ",IF($R137="te scoren","/")))</f>
        <v>2</v>
      </c>
      <c r="T138" s="668" t="b">
        <f>IF(R137="te scoren","/",IF(X137="Sandwich panelen","Definieer type --&gt;",IF(OR(X137="Zware materialen beton",X137="Zware materialen keramisch",X137="Zware materialen andere"),"Kies type isolatiemateriaal --&gt;",IF(X137="Volgende vraag",IF(OR(X137="Staal",X137="hout"),"Kies type isolatiemateriaal --&gt;",IF(X137="te scoren","/"))))))</f>
        <v>0</v>
      </c>
      <c r="U138" s="527"/>
      <c r="V138" s="555"/>
      <c r="W138" s="667"/>
      <c r="X138" s="1475"/>
      <c r="Y138" s="1477"/>
      <c r="Z138" s="1477"/>
      <c r="AA138" s="1478"/>
      <c r="AB138" s="641"/>
      <c r="AC138" s="1072"/>
    </row>
    <row r="139" spans="1:36" ht="15.75" customHeight="1" thickBot="1">
      <c r="A139" s="1072"/>
      <c r="B139" s="1072"/>
      <c r="C139" s="1072"/>
      <c r="D139" s="488"/>
      <c r="E139" s="1337"/>
      <c r="F139" s="1338"/>
      <c r="G139" s="1390"/>
      <c r="H139" s="1391"/>
      <c r="I139" s="1324"/>
      <c r="J139" s="1305"/>
      <c r="K139" s="1090" t="s">
        <v>745</v>
      </c>
      <c r="L139" s="1233" t="s">
        <v>1345</v>
      </c>
      <c r="M139" s="1234"/>
      <c r="N139" s="1234"/>
      <c r="O139" s="1234"/>
      <c r="P139" s="1235"/>
      <c r="Q139" s="497"/>
      <c r="R139" s="572"/>
      <c r="S139" s="669" t="str">
        <f>IF(OR($R137="zwaar",$R137="licht",$R137="SANDWICH"),"3",IF($R137="neen"," ",IF($R137="te scoren","/")))</f>
        <v>3</v>
      </c>
      <c r="T139" s="668" t="str">
        <f>IF(R137="SANDWICH","Geen afwerking selecteren",IF(OR(X137="Zware elementen beton",X137="Zware elementen keramisch",X137="Zware elementen cellenbeton",X137="Zware elementen andere",X137="staal",X137="hout"),"Kies buitenafwerking --&gt;",IF(R137="Te scoren","/","/")))</f>
        <v>/</v>
      </c>
      <c r="U139" s="570"/>
      <c r="V139" s="555"/>
      <c r="W139" s="667"/>
      <c r="X139" s="1475"/>
      <c r="Y139" s="1477"/>
      <c r="Z139" s="1477"/>
      <c r="AA139" s="1478"/>
      <c r="AB139" s="641"/>
      <c r="AC139" s="1072"/>
    </row>
    <row r="140" spans="1:36" ht="15.75" customHeight="1">
      <c r="A140" s="1072"/>
      <c r="B140" s="1072"/>
      <c r="C140" s="1072"/>
      <c r="D140" s="488"/>
      <c r="E140" s="666"/>
      <c r="F140" s="665"/>
      <c r="G140" s="665"/>
      <c r="H140" s="665"/>
      <c r="I140" s="664"/>
      <c r="L140" s="663"/>
      <c r="M140" s="663"/>
      <c r="N140" s="663"/>
      <c r="O140" s="663"/>
      <c r="P140" s="663"/>
      <c r="Q140" s="497"/>
      <c r="R140" s="1467"/>
      <c r="S140" s="1468"/>
      <c r="T140" s="1468"/>
      <c r="U140" s="1468"/>
      <c r="V140" s="1468"/>
      <c r="W140" s="1468"/>
      <c r="X140" s="555"/>
      <c r="Y140" s="523" t="s">
        <v>665</v>
      </c>
      <c r="Z140" s="523" t="s">
        <v>664</v>
      </c>
      <c r="AA140" s="530" t="s">
        <v>391</v>
      </c>
      <c r="AB140" s="641"/>
      <c r="AC140" s="1072"/>
    </row>
    <row r="141" spans="1:36">
      <c r="A141" s="1072"/>
      <c r="B141" s="1072"/>
      <c r="C141" s="1072"/>
      <c r="D141" s="488"/>
      <c r="R141" s="1467"/>
      <c r="S141" s="1468"/>
      <c r="T141" s="1468"/>
      <c r="U141" s="1468"/>
      <c r="V141" s="1468"/>
      <c r="W141" s="1468"/>
      <c r="X141" s="555"/>
      <c r="Y141" s="662" t="str">
        <f>IF(R135="à encoder","/",IF(R135="neen",Z141,IF(ISNA(VLOOKUP(CONCATENATE(X135," &amp; ",X136),'4b'!E4:O16,8,FALSE)),FALSE,VLOOKUP(CONCATENATE(X135," &amp; ",X136),'4b'!E4:O16,8,FALSE))))</f>
        <v>/</v>
      </c>
      <c r="Z141" s="662" t="str">
        <f>IF(AND(R135="neen",R137&lt;&gt;"LOURD"),"/",IF(R137="à encoder","/",IF(X137="Panneau sandwich",IF(ISNA(VLOOKUP(CONCATENATE(X137," ",X138),'4c'!E3:N83,10,FALSE)),FALSE,VLOOKUP(CONCATENATE(X137," ",X138),'4c'!E3:N83,10,FALSE)),IF(X137="Eléments lourds en béton cellulaire",IF(ISNA(VLOOKUP(CONCATENATE(X137," &amp; ",X139),'4c'!E3:N83,10,FALSE)),FALSE,VLOOKUP(CONCATENATE(X137," &amp; ",X139),'4c'!E3:N83,10,FALSE)),IF(ISNA(VLOOKUP(CONCATENATE(X137," &amp; ",X138," &amp; ",X139),'4c'!E3:N83,10,FALSE)),FALSE,VLOOKUP(CONCATENATE(X137," &amp; ",X138," &amp; ",X139),'4c'!E3:N83,10,FALSE))))))</f>
        <v>/</v>
      </c>
      <c r="AA141" s="661" t="str">
        <f>IF(OR(ISERROR(Y141)=TRUE,ISERROR(Z141)=TRUE),"/",IF(OR(Y141="/",Z141="/"),"/",IF(OR(Y141=FALSE,Z141=FALSE),"/",(Y141+Z141)/2)))</f>
        <v>/</v>
      </c>
      <c r="AB141" s="641"/>
      <c r="AC141" s="1072"/>
    </row>
    <row r="142" spans="1:36" ht="11.25" customHeight="1" thickBot="1">
      <c r="A142" s="1072"/>
      <c r="B142" s="1072"/>
      <c r="C142" s="1072"/>
      <c r="D142" s="488"/>
      <c r="E142" s="497"/>
      <c r="F142" s="497"/>
      <c r="G142" s="497"/>
      <c r="H142" s="497"/>
      <c r="I142" s="497"/>
      <c r="J142" s="497"/>
      <c r="K142" s="504"/>
      <c r="L142" s="497"/>
      <c r="M142" s="497"/>
      <c r="N142" s="497"/>
      <c r="O142" s="497"/>
      <c r="P142" s="497"/>
      <c r="Q142" s="485"/>
      <c r="R142" s="1469"/>
      <c r="S142" s="1470"/>
      <c r="T142" s="1470"/>
      <c r="U142" s="1470"/>
      <c r="V142" s="1470"/>
      <c r="W142" s="1470"/>
      <c r="X142" s="584"/>
      <c r="Y142" s="519" t="s">
        <v>1475</v>
      </c>
      <c r="Z142" s="519" t="s">
        <v>1498</v>
      </c>
      <c r="AA142" s="583"/>
      <c r="AB142" s="641"/>
      <c r="AC142" s="1072"/>
    </row>
    <row r="143" spans="1:36" ht="6" customHeight="1" thickBot="1">
      <c r="A143" s="1072"/>
      <c r="B143" s="1072"/>
      <c r="C143" s="1072"/>
      <c r="D143" s="517"/>
      <c r="E143" s="508"/>
      <c r="F143" s="508"/>
      <c r="G143" s="508"/>
      <c r="H143" s="508"/>
      <c r="I143" s="508"/>
      <c r="J143" s="508"/>
      <c r="K143" s="516"/>
      <c r="L143" s="508"/>
      <c r="M143" s="508"/>
      <c r="N143" s="508"/>
      <c r="O143" s="508"/>
      <c r="P143" s="508"/>
      <c r="Q143" s="508"/>
      <c r="R143" s="515"/>
      <c r="S143" s="508"/>
      <c r="T143" s="515"/>
      <c r="U143" s="515"/>
      <c r="V143" s="508"/>
      <c r="W143" s="508"/>
      <c r="X143" s="508"/>
      <c r="Y143" s="508"/>
      <c r="Z143" s="508"/>
      <c r="AA143" s="508"/>
      <c r="AB143" s="514"/>
      <c r="AC143" s="1072"/>
    </row>
    <row r="144" spans="1:36" ht="15" customHeight="1">
      <c r="A144" s="1072"/>
      <c r="B144" s="1072"/>
      <c r="C144" s="1072"/>
      <c r="D144" s="1077"/>
      <c r="E144" s="1077"/>
      <c r="F144" s="1077"/>
      <c r="G144" s="1077"/>
      <c r="H144" s="1077"/>
      <c r="I144" s="1077"/>
      <c r="J144" s="1077"/>
      <c r="K144" s="1078"/>
      <c r="L144" s="1077"/>
      <c r="M144" s="1077"/>
      <c r="N144" s="1077"/>
      <c r="O144" s="1077"/>
      <c r="P144" s="1077"/>
      <c r="Q144" s="1077"/>
      <c r="R144" s="1098"/>
      <c r="S144" s="1077"/>
      <c r="T144" s="1098"/>
      <c r="U144" s="1098"/>
      <c r="V144" s="1077"/>
      <c r="W144" s="1077"/>
      <c r="X144" s="1077"/>
      <c r="Y144" s="1077"/>
      <c r="Z144" s="1077"/>
      <c r="AA144" s="1077"/>
      <c r="AB144" s="1077"/>
      <c r="AC144" s="1072"/>
    </row>
    <row r="145" spans="1:29" ht="15.75" thickBot="1">
      <c r="A145" s="1103"/>
      <c r="B145" s="1103"/>
      <c r="C145" s="1103"/>
      <c r="D145" s="1103"/>
      <c r="E145" s="1103"/>
      <c r="F145" s="1103"/>
      <c r="G145" s="1103"/>
      <c r="H145" s="1103"/>
      <c r="I145" s="1103"/>
      <c r="J145" s="1103"/>
      <c r="K145" s="1104"/>
      <c r="L145" s="1103"/>
      <c r="M145" s="1103"/>
      <c r="N145" s="1103"/>
      <c r="O145" s="1103"/>
      <c r="P145" s="1103"/>
      <c r="Q145" s="1103"/>
      <c r="R145" s="1107"/>
      <c r="S145" s="1103"/>
      <c r="T145" s="1107"/>
      <c r="U145" s="1107"/>
      <c r="V145" s="1103"/>
      <c r="W145" s="1103"/>
      <c r="X145" s="1103"/>
      <c r="Y145" s="1103"/>
      <c r="Z145" s="1103"/>
      <c r="AA145" s="1103"/>
      <c r="AB145" s="1103"/>
      <c r="AC145" s="1103"/>
    </row>
    <row r="146" spans="1:29" ht="15.75" thickBot="1">
      <c r="A146" s="1103"/>
      <c r="B146" s="1103"/>
      <c r="C146" s="1103"/>
      <c r="D146" s="492"/>
      <c r="E146" s="491"/>
      <c r="F146" s="491"/>
      <c r="G146" s="491"/>
      <c r="H146" s="491"/>
      <c r="I146" s="491"/>
      <c r="J146" s="491"/>
      <c r="K146" s="617"/>
      <c r="L146" s="491"/>
      <c r="M146" s="491"/>
      <c r="N146" s="491"/>
      <c r="O146" s="491"/>
      <c r="P146" s="491"/>
      <c r="Q146" s="491"/>
      <c r="R146" s="548"/>
      <c r="S146" s="491"/>
      <c r="T146" s="548"/>
      <c r="U146" s="548"/>
      <c r="V146" s="491"/>
      <c r="W146" s="491"/>
      <c r="X146" s="491"/>
      <c r="Y146" s="491"/>
      <c r="Z146" s="491"/>
      <c r="AA146" s="491"/>
      <c r="AB146" s="490"/>
      <c r="AC146" s="1103"/>
    </row>
    <row r="147" spans="1:29">
      <c r="A147" s="1103"/>
      <c r="B147" s="1103"/>
      <c r="C147" s="1103"/>
      <c r="D147" s="488"/>
      <c r="E147" s="1316" t="s">
        <v>1346</v>
      </c>
      <c r="F147" s="1317"/>
      <c r="G147" s="1317"/>
      <c r="H147" s="1317"/>
      <c r="I147" s="1317"/>
      <c r="J147" s="1317"/>
      <c r="K147" s="1317"/>
      <c r="L147" s="1317"/>
      <c r="M147" s="1316" t="s">
        <v>1347</v>
      </c>
      <c r="N147" s="1317"/>
      <c r="O147" s="1317"/>
      <c r="P147" s="1394"/>
      <c r="Q147" s="497"/>
      <c r="R147" s="1192" t="s">
        <v>1469</v>
      </c>
      <c r="S147" s="1193"/>
      <c r="T147" s="1193"/>
      <c r="U147" s="1193"/>
      <c r="V147" s="1193"/>
      <c r="W147" s="1193"/>
      <c r="X147" s="1193"/>
      <c r="Y147" s="1193"/>
      <c r="Z147" s="1193"/>
      <c r="AA147" s="1194"/>
      <c r="AB147" s="485"/>
      <c r="AC147" s="1103"/>
    </row>
    <row r="148" spans="1:29" ht="15.75" thickBot="1">
      <c r="A148" s="1103"/>
      <c r="B148" s="1103"/>
      <c r="C148" s="1103"/>
      <c r="D148" s="488"/>
      <c r="E148" s="1318"/>
      <c r="F148" s="1319"/>
      <c r="G148" s="1319"/>
      <c r="H148" s="1319"/>
      <c r="I148" s="1319"/>
      <c r="J148" s="1319"/>
      <c r="K148" s="1319"/>
      <c r="L148" s="1319"/>
      <c r="M148" s="1318"/>
      <c r="N148" s="1319"/>
      <c r="O148" s="1319"/>
      <c r="P148" s="1397"/>
      <c r="Q148" s="497"/>
      <c r="R148" s="1195"/>
      <c r="S148" s="1196"/>
      <c r="T148" s="1196"/>
      <c r="U148" s="1196"/>
      <c r="V148" s="1196"/>
      <c r="W148" s="1196"/>
      <c r="X148" s="1196"/>
      <c r="Y148" s="1196"/>
      <c r="Z148" s="1196"/>
      <c r="AA148" s="1197"/>
      <c r="AB148" s="485"/>
      <c r="AC148" s="1103"/>
    </row>
    <row r="149" spans="1:29" ht="15.75" thickBot="1">
      <c r="A149" s="1103"/>
      <c r="B149" s="1103"/>
      <c r="C149" s="1103"/>
      <c r="D149" s="488"/>
      <c r="E149" s="497"/>
      <c r="F149" s="497"/>
      <c r="G149" s="497"/>
      <c r="H149" s="497"/>
      <c r="I149" s="497"/>
      <c r="J149" s="497"/>
      <c r="K149" s="504"/>
      <c r="L149" s="497"/>
      <c r="M149" s="497"/>
      <c r="N149" s="497"/>
      <c r="O149" s="497"/>
      <c r="P149" s="497"/>
      <c r="Q149" s="497"/>
      <c r="R149" s="1168" t="str">
        <f>L419</f>
        <v>/</v>
      </c>
      <c r="S149" s="1169"/>
      <c r="T149" s="1169"/>
      <c r="U149" s="1169"/>
      <c r="V149" s="1169"/>
      <c r="W149" s="1169"/>
      <c r="X149" s="1169"/>
      <c r="Y149" s="1169"/>
      <c r="Z149" s="1169"/>
      <c r="AA149" s="1170"/>
      <c r="AB149" s="485"/>
      <c r="AC149" s="1103"/>
    </row>
    <row r="150" spans="1:29" ht="15.75" thickBot="1">
      <c r="A150" s="1103"/>
      <c r="B150" s="1103"/>
      <c r="C150" s="1103"/>
      <c r="D150" s="488"/>
      <c r="E150" s="1458" t="s">
        <v>1348</v>
      </c>
      <c r="F150" s="1466"/>
      <c r="G150" s="1466"/>
      <c r="H150" s="1466"/>
      <c r="I150" s="1466"/>
      <c r="J150" s="1466"/>
      <c r="K150" s="1466"/>
      <c r="L150" s="1459"/>
      <c r="M150" s="1458" t="s">
        <v>1186</v>
      </c>
      <c r="N150" s="1459"/>
      <c r="O150" s="660"/>
      <c r="P150" s="660"/>
      <c r="Q150" s="510"/>
      <c r="R150" s="1171"/>
      <c r="S150" s="1172"/>
      <c r="T150" s="1172"/>
      <c r="U150" s="1172"/>
      <c r="V150" s="1172"/>
      <c r="W150" s="1172"/>
      <c r="X150" s="1172"/>
      <c r="Y150" s="1172"/>
      <c r="Z150" s="1172"/>
      <c r="AA150" s="1173"/>
      <c r="AB150" s="485"/>
      <c r="AC150" s="1103"/>
    </row>
    <row r="151" spans="1:29" ht="15.75" customHeight="1" thickBot="1">
      <c r="A151" s="1103"/>
      <c r="B151" s="1103"/>
      <c r="C151" s="1103"/>
      <c r="D151" s="488"/>
      <c r="E151" s="1313" t="s">
        <v>1349</v>
      </c>
      <c r="F151" s="1314"/>
      <c r="G151" s="1314"/>
      <c r="H151" s="1314"/>
      <c r="I151" s="1314"/>
      <c r="J151" s="1314"/>
      <c r="K151" s="1315"/>
      <c r="L151" s="651" t="s">
        <v>1350</v>
      </c>
      <c r="M151" s="630" t="s">
        <v>1351</v>
      </c>
      <c r="N151" s="659"/>
      <c r="O151" s="656"/>
      <c r="P151" s="656"/>
      <c r="Q151" s="510"/>
      <c r="R151" s="1171"/>
      <c r="S151" s="1172"/>
      <c r="T151" s="1172"/>
      <c r="U151" s="1172"/>
      <c r="V151" s="1172"/>
      <c r="W151" s="1172"/>
      <c r="X151" s="1172"/>
      <c r="Y151" s="1172"/>
      <c r="Z151" s="1172"/>
      <c r="AA151" s="1173"/>
      <c r="AB151" s="485"/>
      <c r="AC151" s="1103"/>
    </row>
    <row r="152" spans="1:29" ht="15.75" customHeight="1" thickBot="1">
      <c r="A152" s="1103"/>
      <c r="B152" s="1103"/>
      <c r="C152" s="1103"/>
      <c r="D152" s="488"/>
      <c r="E152" s="1260" t="s">
        <v>1352</v>
      </c>
      <c r="F152" s="1261"/>
      <c r="G152" s="1261"/>
      <c r="H152" s="1261"/>
      <c r="I152" s="1262"/>
      <c r="J152" s="1265">
        <v>150</v>
      </c>
      <c r="K152" s="1266"/>
      <c r="L152" s="1100">
        <v>250</v>
      </c>
      <c r="M152" s="1392">
        <f>L152+L154</f>
        <v>350</v>
      </c>
      <c r="N152" s="1393"/>
      <c r="O152" s="655"/>
      <c r="P152" s="655"/>
      <c r="Q152" s="618"/>
      <c r="R152" s="1174"/>
      <c r="S152" s="1175"/>
      <c r="T152" s="1175"/>
      <c r="U152" s="1175"/>
      <c r="V152" s="1175"/>
      <c r="W152" s="1175"/>
      <c r="X152" s="1175"/>
      <c r="Y152" s="1175"/>
      <c r="Z152" s="1175"/>
      <c r="AA152" s="1176"/>
      <c r="AB152" s="485"/>
      <c r="AC152" s="1103"/>
    </row>
    <row r="153" spans="1:29" ht="15.75" customHeight="1" thickBot="1">
      <c r="A153" s="1103"/>
      <c r="B153" s="1103"/>
      <c r="C153" s="1103"/>
      <c r="D153" s="488"/>
      <c r="E153" s="1260" t="s">
        <v>1353</v>
      </c>
      <c r="F153" s="1261"/>
      <c r="G153" s="1261"/>
      <c r="H153" s="1261"/>
      <c r="I153" s="1262"/>
      <c r="J153" s="1265">
        <v>3</v>
      </c>
      <c r="K153" s="1266"/>
      <c r="L153" s="651" t="s">
        <v>1356</v>
      </c>
      <c r="M153" s="627" t="s">
        <v>1364</v>
      </c>
      <c r="N153" s="626"/>
      <c r="O153" s="658"/>
      <c r="P153" s="658"/>
      <c r="Q153" s="510"/>
      <c r="R153" s="615"/>
      <c r="S153" s="615"/>
      <c r="T153" s="615"/>
      <c r="U153" s="615"/>
      <c r="V153" s="615"/>
      <c r="W153" s="615"/>
      <c r="X153" s="615"/>
      <c r="Y153" s="615"/>
      <c r="Z153" s="615"/>
      <c r="AA153" s="615"/>
      <c r="AB153" s="485"/>
      <c r="AC153" s="1103"/>
    </row>
    <row r="154" spans="1:29" ht="15.75" customHeight="1" thickBot="1">
      <c r="A154" s="1103"/>
      <c r="B154" s="1103"/>
      <c r="C154" s="1103"/>
      <c r="D154" s="488"/>
      <c r="E154" s="1256" t="s">
        <v>1354</v>
      </c>
      <c r="F154" s="1257"/>
      <c r="G154" s="1257"/>
      <c r="H154" s="1257"/>
      <c r="I154" s="1257"/>
      <c r="J154" s="1279">
        <v>450</v>
      </c>
      <c r="K154" s="1280"/>
      <c r="L154" s="1100">
        <v>100</v>
      </c>
      <c r="M154" s="1277">
        <f>J154+J158+J162</f>
        <v>485</v>
      </c>
      <c r="N154" s="1278"/>
      <c r="O154" s="657"/>
      <c r="P154" s="657"/>
      <c r="Q154" s="618"/>
      <c r="R154" s="615"/>
      <c r="S154" s="615"/>
      <c r="T154" s="615"/>
      <c r="U154" s="615"/>
      <c r="V154" s="615"/>
      <c r="W154" s="615"/>
      <c r="X154" s="615"/>
      <c r="Y154" s="615"/>
      <c r="Z154" s="615"/>
      <c r="AA154" s="615"/>
      <c r="AB154" s="485"/>
      <c r="AC154" s="1103"/>
    </row>
    <row r="155" spans="1:29" ht="15.75" customHeight="1" thickBot="1">
      <c r="A155" s="1103"/>
      <c r="B155" s="1103"/>
      <c r="C155" s="1103"/>
      <c r="D155" s="488"/>
      <c r="E155" s="1325" t="s">
        <v>1355</v>
      </c>
      <c r="F155" s="1326"/>
      <c r="G155" s="1326"/>
      <c r="H155" s="1326"/>
      <c r="I155" s="1326"/>
      <c r="J155" s="1254"/>
      <c r="K155" s="1255"/>
      <c r="L155" s="651" t="s">
        <v>1357</v>
      </c>
      <c r="M155" s="1327"/>
      <c r="N155" s="1328"/>
      <c r="O155" s="658"/>
      <c r="P155" s="658"/>
      <c r="Q155" s="510"/>
      <c r="R155" s="615"/>
      <c r="S155" s="615"/>
      <c r="T155" s="615"/>
      <c r="U155" s="615"/>
      <c r="V155" s="615"/>
      <c r="W155" s="615"/>
      <c r="X155" s="615"/>
      <c r="Y155" s="615"/>
      <c r="Z155" s="615"/>
      <c r="AA155" s="615"/>
      <c r="AB155" s="485"/>
      <c r="AC155" s="1103"/>
    </row>
    <row r="156" spans="1:29" ht="15.75" thickBot="1">
      <c r="A156" s="1103"/>
      <c r="B156" s="1103"/>
      <c r="C156" s="1103"/>
      <c r="D156" s="488"/>
      <c r="E156" s="1260" t="s">
        <v>1352</v>
      </c>
      <c r="F156" s="1261"/>
      <c r="G156" s="1261"/>
      <c r="H156" s="1261"/>
      <c r="I156" s="1262"/>
      <c r="J156" s="1265">
        <v>5</v>
      </c>
      <c r="K156" s="1266"/>
      <c r="L156" s="1100">
        <v>450</v>
      </c>
      <c r="M156" s="1320"/>
      <c r="N156" s="1321"/>
      <c r="O156" s="657"/>
      <c r="P156" s="657"/>
      <c r="Q156" s="618"/>
      <c r="R156" s="620"/>
      <c r="S156" s="622"/>
      <c r="T156" s="621"/>
      <c r="U156" s="620"/>
      <c r="V156" s="497"/>
      <c r="W156" s="497"/>
      <c r="X156" s="497"/>
      <c r="Y156" s="497"/>
      <c r="Z156" s="497"/>
      <c r="AA156" s="497"/>
      <c r="AB156" s="485"/>
      <c r="AC156" s="1103"/>
    </row>
    <row r="157" spans="1:29" ht="15.75" thickBot="1">
      <c r="A157" s="1103"/>
      <c r="B157" s="1103"/>
      <c r="C157" s="1103"/>
      <c r="D157" s="488"/>
      <c r="E157" s="1260" t="s">
        <v>1353</v>
      </c>
      <c r="F157" s="1261"/>
      <c r="G157" s="1261"/>
      <c r="H157" s="1261"/>
      <c r="I157" s="1262"/>
      <c r="J157" s="1265">
        <v>5</v>
      </c>
      <c r="K157" s="1266"/>
      <c r="L157" s="651" t="s">
        <v>1360</v>
      </c>
      <c r="M157" s="1327"/>
      <c r="N157" s="1328"/>
      <c r="O157" s="658"/>
      <c r="P157" s="658"/>
      <c r="Q157" s="510"/>
      <c r="AB157" s="485"/>
      <c r="AC157" s="1103"/>
    </row>
    <row r="158" spans="1:29" ht="15.75" thickBot="1">
      <c r="A158" s="1103"/>
      <c r="B158" s="1103"/>
      <c r="C158" s="1103"/>
      <c r="D158" s="488"/>
      <c r="E158" s="1260" t="s">
        <v>1358</v>
      </c>
      <c r="F158" s="1261"/>
      <c r="G158" s="1261"/>
      <c r="H158" s="1261"/>
      <c r="I158" s="1262"/>
      <c r="J158" s="1279">
        <v>25</v>
      </c>
      <c r="K158" s="1280"/>
      <c r="L158" s="1100">
        <v>100</v>
      </c>
      <c r="M158" s="1320"/>
      <c r="N158" s="1321"/>
      <c r="O158" s="657"/>
      <c r="P158" s="657"/>
      <c r="Q158" s="618"/>
      <c r="AB158" s="485"/>
      <c r="AC158" s="1103"/>
    </row>
    <row r="159" spans="1:29" ht="15.75" thickBot="1">
      <c r="A159" s="1103"/>
      <c r="B159" s="1103"/>
      <c r="C159" s="1103"/>
      <c r="D159" s="488"/>
      <c r="E159" s="1253" t="s">
        <v>1359</v>
      </c>
      <c r="F159" s="1254"/>
      <c r="G159" s="1254"/>
      <c r="H159" s="1254"/>
      <c r="I159" s="1254"/>
      <c r="J159" s="1254"/>
      <c r="K159" s="1255"/>
      <c r="L159" s="651" t="s">
        <v>1361</v>
      </c>
      <c r="M159" s="1327"/>
      <c r="N159" s="1328"/>
      <c r="O159" s="658"/>
      <c r="P159" s="658"/>
      <c r="Q159" s="510"/>
      <c r="AB159" s="485"/>
      <c r="AC159" s="1103"/>
    </row>
    <row r="160" spans="1:29" ht="15.75" thickBot="1">
      <c r="A160" s="1103"/>
      <c r="B160" s="1103"/>
      <c r="C160" s="1103"/>
      <c r="D160" s="488"/>
      <c r="E160" s="1260" t="s">
        <v>1352</v>
      </c>
      <c r="F160" s="1261"/>
      <c r="G160" s="1261"/>
      <c r="H160" s="1261"/>
      <c r="I160" s="1262"/>
      <c r="J160" s="1265">
        <v>10</v>
      </c>
      <c r="K160" s="1266"/>
      <c r="L160" s="1100">
        <v>0</v>
      </c>
      <c r="M160" s="1320"/>
      <c r="N160" s="1321"/>
      <c r="O160" s="657"/>
      <c r="P160" s="657"/>
      <c r="Q160" s="618"/>
      <c r="AB160" s="485"/>
      <c r="AC160" s="1103"/>
    </row>
    <row r="161" spans="1:38" ht="15.75" thickBot="1">
      <c r="A161" s="1103"/>
      <c r="B161" s="1103"/>
      <c r="C161" s="1103"/>
      <c r="D161" s="488"/>
      <c r="E161" s="1260" t="s">
        <v>1353</v>
      </c>
      <c r="F161" s="1261"/>
      <c r="G161" s="1261"/>
      <c r="H161" s="1261"/>
      <c r="I161" s="1262"/>
      <c r="J161" s="1265">
        <v>1</v>
      </c>
      <c r="K161" s="1266"/>
      <c r="L161" s="651" t="s">
        <v>1362</v>
      </c>
      <c r="M161" s="1454"/>
      <c r="N161" s="1455"/>
      <c r="O161" s="656"/>
      <c r="P161" s="656"/>
      <c r="Q161" s="510"/>
      <c r="AB161" s="485"/>
      <c r="AC161" s="1103"/>
    </row>
    <row r="162" spans="1:38" ht="15.75" thickBot="1">
      <c r="A162" s="1103"/>
      <c r="B162" s="1103"/>
      <c r="C162" s="1103"/>
      <c r="D162" s="488"/>
      <c r="E162" s="1260" t="s">
        <v>1358</v>
      </c>
      <c r="F162" s="1261"/>
      <c r="G162" s="1261"/>
      <c r="H162" s="1261"/>
      <c r="I162" s="1262"/>
      <c r="J162" s="1279">
        <v>10</v>
      </c>
      <c r="K162" s="1280"/>
      <c r="L162" s="1100">
        <v>900</v>
      </c>
      <c r="M162" s="1456"/>
      <c r="N162" s="1457"/>
      <c r="O162" s="655"/>
      <c r="P162" s="655"/>
      <c r="Q162" s="618"/>
      <c r="AB162" s="485"/>
      <c r="AC162" s="1103"/>
    </row>
    <row r="163" spans="1:38" ht="15.75" thickBot="1">
      <c r="A163" s="1103"/>
      <c r="B163" s="1103"/>
      <c r="C163" s="1103"/>
      <c r="D163" s="488"/>
      <c r="E163" s="654"/>
      <c r="F163" s="653"/>
      <c r="G163" s="653"/>
      <c r="H163" s="653"/>
      <c r="I163" s="653"/>
      <c r="J163" s="653"/>
      <c r="K163" s="652"/>
      <c r="L163" s="651" t="s">
        <v>1363</v>
      </c>
      <c r="M163" s="650"/>
      <c r="N163" s="649"/>
      <c r="O163" s="644"/>
      <c r="P163" s="644"/>
      <c r="Q163" s="618"/>
      <c r="R163" s="620"/>
      <c r="S163" s="510"/>
      <c r="T163" s="510"/>
      <c r="U163" s="620"/>
      <c r="V163" s="497"/>
      <c r="W163" s="497"/>
      <c r="X163" s="497"/>
      <c r="Y163" s="497"/>
      <c r="Z163" s="497"/>
      <c r="AA163" s="497"/>
      <c r="AB163" s="485"/>
      <c r="AC163" s="1103"/>
    </row>
    <row r="164" spans="1:38" ht="15.75" thickBot="1">
      <c r="A164" s="1103"/>
      <c r="B164" s="1103"/>
      <c r="C164" s="1103"/>
      <c r="D164" s="488"/>
      <c r="E164" s="648"/>
      <c r="F164" s="613"/>
      <c r="G164" s="613"/>
      <c r="H164" s="613"/>
      <c r="I164" s="613"/>
      <c r="J164" s="613"/>
      <c r="K164" s="647"/>
      <c r="L164" s="1101">
        <v>200</v>
      </c>
      <c r="M164" s="646"/>
      <c r="N164" s="645"/>
      <c r="O164" s="644"/>
      <c r="P164" s="644"/>
      <c r="Q164" s="618"/>
      <c r="R164" s="620"/>
      <c r="S164" s="510"/>
      <c r="T164" s="510"/>
      <c r="U164" s="620"/>
      <c r="V164" s="497"/>
      <c r="W164" s="497"/>
      <c r="X164" s="497"/>
      <c r="Y164" s="497"/>
      <c r="Z164" s="497"/>
      <c r="AA164" s="497"/>
      <c r="AB164" s="485"/>
      <c r="AC164" s="1103"/>
    </row>
    <row r="165" spans="1:38" ht="15.75" thickBot="1">
      <c r="A165" s="1103"/>
      <c r="B165" s="1103"/>
      <c r="C165" s="1103"/>
      <c r="D165" s="517"/>
      <c r="E165" s="508"/>
      <c r="F165" s="508"/>
      <c r="G165" s="508"/>
      <c r="H165" s="508"/>
      <c r="I165" s="508"/>
      <c r="J165" s="508"/>
      <c r="K165" s="516"/>
      <c r="L165" s="508"/>
      <c r="M165" s="619"/>
      <c r="N165" s="619"/>
      <c r="O165" s="508"/>
      <c r="P165" s="508"/>
      <c r="Q165" s="508"/>
      <c r="R165" s="515"/>
      <c r="S165" s="508"/>
      <c r="T165" s="515"/>
      <c r="U165" s="515"/>
      <c r="V165" s="508"/>
      <c r="W165" s="508"/>
      <c r="X165" s="508"/>
      <c r="Y165" s="508"/>
      <c r="Z165" s="508"/>
      <c r="AA165" s="508"/>
      <c r="AB165" s="514"/>
      <c r="AC165" s="1103"/>
    </row>
    <row r="166" spans="1:38" ht="15" customHeight="1" thickBot="1">
      <c r="A166" s="1103"/>
      <c r="B166" s="1103"/>
      <c r="C166" s="1103"/>
      <c r="D166" s="1133"/>
      <c r="E166" s="1133"/>
      <c r="F166" s="1133"/>
      <c r="G166" s="1133"/>
      <c r="H166" s="1133"/>
      <c r="I166" s="1133"/>
      <c r="J166" s="1133"/>
      <c r="K166" s="1134"/>
      <c r="L166" s="1133"/>
      <c r="M166" s="1135"/>
      <c r="N166" s="1135"/>
      <c r="O166" s="1133"/>
      <c r="P166" s="1133"/>
      <c r="Q166" s="1103"/>
      <c r="R166" s="1107"/>
      <c r="S166" s="1103"/>
      <c r="T166" s="1107"/>
      <c r="U166" s="1107"/>
      <c r="V166" s="1103"/>
      <c r="W166" s="1103"/>
      <c r="X166" s="1103"/>
      <c r="Y166" s="1103"/>
      <c r="Z166" s="1103"/>
      <c r="AA166" s="1103"/>
      <c r="AB166" s="1103"/>
      <c r="AC166" s="1103"/>
    </row>
    <row r="167" spans="1:38" ht="15.75" thickBot="1">
      <c r="A167" s="1103"/>
      <c r="B167" s="1103"/>
      <c r="C167" s="1103"/>
      <c r="D167" s="492"/>
      <c r="E167" s="491"/>
      <c r="F167" s="491"/>
      <c r="G167" s="491"/>
      <c r="H167" s="491"/>
      <c r="I167" s="491"/>
      <c r="J167" s="491"/>
      <c r="K167" s="617"/>
      <c r="L167" s="491"/>
      <c r="M167" s="491"/>
      <c r="N167" s="491"/>
      <c r="O167" s="491"/>
      <c r="P167" s="491"/>
      <c r="Q167" s="491"/>
      <c r="R167" s="548"/>
      <c r="S167" s="491"/>
      <c r="T167" s="548"/>
      <c r="U167" s="548"/>
      <c r="V167" s="491"/>
      <c r="W167" s="491"/>
      <c r="X167" s="491"/>
      <c r="Y167" s="491"/>
      <c r="Z167" s="491"/>
      <c r="AA167" s="491"/>
      <c r="AB167" s="490"/>
      <c r="AC167" s="1103"/>
    </row>
    <row r="168" spans="1:38">
      <c r="A168" s="1103"/>
      <c r="B168" s="1103"/>
      <c r="C168" s="1103"/>
      <c r="D168" s="488"/>
      <c r="E168" s="1316" t="s">
        <v>1365</v>
      </c>
      <c r="F168" s="1317"/>
      <c r="G168" s="1317"/>
      <c r="H168" s="1317"/>
      <c r="I168" s="1317"/>
      <c r="J168" s="1317"/>
      <c r="K168" s="1317"/>
      <c r="L168" s="1317"/>
      <c r="M168" s="1317"/>
      <c r="N168" s="1317"/>
      <c r="O168" s="1317"/>
      <c r="P168" s="1394"/>
      <c r="Q168" s="497"/>
      <c r="R168" s="496"/>
      <c r="S168" s="497"/>
      <c r="T168" s="496"/>
      <c r="U168" s="496"/>
      <c r="V168" s="497"/>
      <c r="W168" s="497"/>
      <c r="X168" s="497"/>
      <c r="Y168" s="497"/>
      <c r="Z168" s="497"/>
      <c r="AA168" s="497"/>
      <c r="AB168" s="485"/>
      <c r="AC168" s="1103"/>
    </row>
    <row r="169" spans="1:38" ht="15.75" thickBot="1">
      <c r="A169" s="1103"/>
      <c r="B169" s="1103"/>
      <c r="C169" s="1103"/>
      <c r="D169" s="488"/>
      <c r="E169" s="1395"/>
      <c r="F169" s="1396"/>
      <c r="G169" s="1396"/>
      <c r="H169" s="1396"/>
      <c r="I169" s="1396"/>
      <c r="J169" s="1319"/>
      <c r="K169" s="1319"/>
      <c r="L169" s="1319"/>
      <c r="M169" s="1319"/>
      <c r="N169" s="1319"/>
      <c r="O169" s="1319"/>
      <c r="P169" s="1397"/>
      <c r="Q169" s="497"/>
      <c r="R169" s="496"/>
      <c r="S169" s="497"/>
      <c r="T169" s="496"/>
      <c r="U169" s="496"/>
      <c r="V169" s="497"/>
      <c r="W169" s="497"/>
      <c r="X169" s="497"/>
      <c r="Y169" s="497"/>
      <c r="Z169" s="497"/>
      <c r="AA169" s="497"/>
      <c r="AB169" s="485"/>
      <c r="AC169" s="1103"/>
    </row>
    <row r="170" spans="1:38">
      <c r="A170" s="1103"/>
      <c r="B170" s="1103"/>
      <c r="C170" s="1103"/>
      <c r="D170" s="488"/>
      <c r="E170" s="1293" t="s">
        <v>1120</v>
      </c>
      <c r="F170" s="1294"/>
      <c r="G170" s="1294"/>
      <c r="H170" s="1295"/>
      <c r="I170" s="1398" t="s">
        <v>1123</v>
      </c>
      <c r="J170" s="1399"/>
      <c r="K170" s="1399"/>
      <c r="L170" s="1400"/>
      <c r="M170" s="1430" t="s">
        <v>641</v>
      </c>
      <c r="N170" s="1263" t="s">
        <v>639</v>
      </c>
      <c r="O170" s="1410" t="s">
        <v>638</v>
      </c>
      <c r="P170" s="1263" t="s">
        <v>636</v>
      </c>
      <c r="Q170" s="497"/>
      <c r="R170" s="496"/>
      <c r="S170" s="497"/>
      <c r="T170" s="496"/>
      <c r="U170" s="496"/>
      <c r="V170" s="497"/>
      <c r="W170" s="497"/>
      <c r="X170" s="497"/>
      <c r="Y170" s="497"/>
      <c r="Z170" s="497"/>
      <c r="AA170" s="497"/>
      <c r="AB170" s="485"/>
      <c r="AC170" s="1103"/>
    </row>
    <row r="171" spans="1:38" ht="15.75" thickBot="1">
      <c r="A171" s="1103"/>
      <c r="B171" s="1103"/>
      <c r="C171" s="1103"/>
      <c r="D171" s="488"/>
      <c r="E171" s="1296"/>
      <c r="F171" s="1297"/>
      <c r="G171" s="1297"/>
      <c r="H171" s="1298"/>
      <c r="I171" s="1401"/>
      <c r="J171" s="1402"/>
      <c r="K171" s="1402"/>
      <c r="L171" s="1403"/>
      <c r="M171" s="1431"/>
      <c r="N171" s="1264"/>
      <c r="O171" s="1411"/>
      <c r="P171" s="1264"/>
      <c r="Q171" s="497"/>
      <c r="R171" s="496"/>
      <c r="S171" s="497"/>
      <c r="T171" s="496"/>
      <c r="U171" s="496"/>
      <c r="V171" s="497"/>
      <c r="W171" s="497"/>
      <c r="X171" s="497"/>
      <c r="Y171" s="497"/>
      <c r="Z171" s="497"/>
      <c r="AA171" s="497"/>
      <c r="AB171" s="485"/>
      <c r="AC171" s="1103"/>
    </row>
    <row r="172" spans="1:38" ht="15.75" thickBot="1">
      <c r="A172" s="1103"/>
      <c r="B172" s="1103"/>
      <c r="C172" s="1103"/>
      <c r="D172" s="488"/>
      <c r="E172" s="1251" t="s">
        <v>1121</v>
      </c>
      <c r="F172" s="1251" t="s">
        <v>1122</v>
      </c>
      <c r="G172" s="1251" t="s">
        <v>674</v>
      </c>
      <c r="H172" s="1251" t="s">
        <v>1500</v>
      </c>
      <c r="I172" s="1111" t="s">
        <v>135</v>
      </c>
      <c r="J172" s="1404" t="s">
        <v>1366</v>
      </c>
      <c r="K172" s="1405"/>
      <c r="L172" s="1405"/>
      <c r="M172" s="1405"/>
      <c r="N172" s="1405"/>
      <c r="O172" s="1405"/>
      <c r="P172" s="1406"/>
      <c r="Q172" s="497"/>
      <c r="R172" s="496"/>
      <c r="S172" s="497"/>
      <c r="T172" s="496"/>
      <c r="U172" s="496"/>
      <c r="V172" s="497"/>
      <c r="W172" s="497"/>
      <c r="X172" s="497"/>
      <c r="Y172" s="497"/>
      <c r="Z172" s="497"/>
      <c r="AA172" s="497"/>
      <c r="AB172" s="485"/>
      <c r="AC172" s="1103"/>
    </row>
    <row r="173" spans="1:38" ht="15.75" customHeight="1" thickBot="1">
      <c r="A173" s="1103"/>
      <c r="B173" s="1103"/>
      <c r="C173" s="1103"/>
      <c r="D173" s="488"/>
      <c r="E173" s="1252"/>
      <c r="F173" s="1252"/>
      <c r="G173" s="1252"/>
      <c r="H173" s="1252"/>
      <c r="I173" s="1110" t="s">
        <v>742</v>
      </c>
      <c r="J173" s="1215" t="s">
        <v>1367</v>
      </c>
      <c r="K173" s="1216"/>
      <c r="L173" s="1216"/>
      <c r="M173" s="1216"/>
      <c r="N173" s="1216"/>
      <c r="O173" s="1216"/>
      <c r="P173" s="1217"/>
      <c r="Q173" s="497"/>
      <c r="R173" s="496"/>
      <c r="S173" s="497"/>
      <c r="T173" s="496"/>
      <c r="U173" s="496"/>
      <c r="V173" s="643"/>
      <c r="W173" s="497"/>
      <c r="X173" s="497"/>
      <c r="Y173" s="497"/>
      <c r="Z173" s="497"/>
      <c r="AA173" s="497"/>
      <c r="AB173" s="485"/>
      <c r="AC173" s="1103"/>
    </row>
    <row r="174" spans="1:38" ht="15" customHeight="1" thickBot="1">
      <c r="A174" s="1103"/>
      <c r="B174" s="1103"/>
      <c r="C174" s="1103"/>
      <c r="D174" s="488"/>
      <c r="E174" s="1218" t="s">
        <v>672</v>
      </c>
      <c r="F174" s="1218" t="s">
        <v>672</v>
      </c>
      <c r="G174" s="1218" t="s">
        <v>672</v>
      </c>
      <c r="H174" s="1218" t="s">
        <v>672</v>
      </c>
      <c r="I174" s="1322" t="s">
        <v>741</v>
      </c>
      <c r="J174" s="637" t="s">
        <v>1127</v>
      </c>
      <c r="K174" s="1158" t="s">
        <v>1368</v>
      </c>
      <c r="L174" s="1159"/>
      <c r="M174" s="636" t="s">
        <v>641</v>
      </c>
      <c r="N174" s="636" t="s">
        <v>639</v>
      </c>
      <c r="O174" s="636" t="s">
        <v>638</v>
      </c>
      <c r="P174" s="635" t="s">
        <v>636</v>
      </c>
      <c r="Q174" s="497"/>
      <c r="R174" s="496"/>
      <c r="S174" s="497"/>
      <c r="T174" s="496"/>
      <c r="U174" s="496"/>
      <c r="V174" s="497"/>
      <c r="W174" s="497"/>
      <c r="X174" s="497"/>
      <c r="Y174" s="497"/>
      <c r="Z174" s="497"/>
      <c r="AA174" s="497"/>
      <c r="AB174" s="485"/>
      <c r="AC174" s="1103"/>
    </row>
    <row r="175" spans="1:38" ht="130.5" customHeight="1" thickBot="1">
      <c r="A175" s="1103"/>
      <c r="B175" s="1105" t="s">
        <v>1134</v>
      </c>
      <c r="C175" s="1103"/>
      <c r="D175" s="488"/>
      <c r="E175" s="1243"/>
      <c r="F175" s="1243"/>
      <c r="G175" s="1243"/>
      <c r="H175" s="1243"/>
      <c r="I175" s="1323"/>
      <c r="J175" s="634" t="s">
        <v>1135</v>
      </c>
      <c r="K175" s="1160" t="s">
        <v>1369</v>
      </c>
      <c r="L175" s="1244"/>
      <c r="M175" s="614" t="s">
        <v>1372</v>
      </c>
      <c r="N175" s="600" t="s">
        <v>1370</v>
      </c>
      <c r="O175" s="614" t="s">
        <v>1371</v>
      </c>
      <c r="P175" s="600" t="s">
        <v>1373</v>
      </c>
      <c r="Q175" s="497"/>
      <c r="R175" s="496"/>
      <c r="S175" s="504"/>
      <c r="T175" s="613"/>
      <c r="U175" s="613"/>
      <c r="V175" s="613"/>
      <c r="W175" s="642"/>
      <c r="X175" s="497"/>
      <c r="Y175" s="497"/>
      <c r="Z175" s="497"/>
      <c r="AA175" s="497"/>
      <c r="AB175" s="485"/>
      <c r="AC175" s="1103"/>
      <c r="AD175" s="612"/>
      <c r="AE175" s="612"/>
      <c r="AF175" s="612"/>
      <c r="AG175" s="612"/>
      <c r="AH175" s="612"/>
    </row>
    <row r="176" spans="1:38" ht="15.75" customHeight="1" thickBot="1">
      <c r="A176" s="1103"/>
      <c r="B176" s="1103"/>
      <c r="C176" s="1103"/>
      <c r="D176" s="488"/>
      <c r="E176" s="1243"/>
      <c r="F176" s="1243"/>
      <c r="G176" s="1243"/>
      <c r="H176" s="1243"/>
      <c r="I176" s="1323"/>
      <c r="J176" s="1306" t="s">
        <v>1132</v>
      </c>
      <c r="K176" s="633" t="s">
        <v>724</v>
      </c>
      <c r="L176" s="1227" t="s">
        <v>1374</v>
      </c>
      <c r="M176" s="1228"/>
      <c r="N176" s="1228"/>
      <c r="O176" s="1228"/>
      <c r="P176" s="1229"/>
      <c r="Q176" s="590"/>
      <c r="R176" s="1093" t="s">
        <v>1095</v>
      </c>
      <c r="S176" s="597"/>
      <c r="T176" s="589">
        <f t="shared" ref="T176:U179" si="3">IF($R176="ja",$S176*1,IF($R176="neen","0,00 m²",IF($R176="à encoder","/")))</f>
        <v>0</v>
      </c>
      <c r="U176" s="596">
        <f t="shared" si="3"/>
        <v>0</v>
      </c>
      <c r="V176" s="596">
        <f>IF($R176="ja",$S176*0.5,IF($R176="neen","0,00 m²",IF($R176="à encoder","/")))</f>
        <v>0</v>
      </c>
      <c r="W176" s="1200" t="str">
        <f>IF(SUMIF(R176:R179,"ja",(S176:S179))&gt;($J$154),"Surface totale voiries automobiles plus grande que la surface encodée dans les caractéristiques physiques du site","")</f>
        <v/>
      </c>
      <c r="X176" s="1200"/>
      <c r="Y176" s="1200"/>
      <c r="Z176" s="1200"/>
      <c r="AA176" s="1156">
        <f>SUMIF(R176:R179,"ja",(S176:S179))/($J$154)</f>
        <v>0</v>
      </c>
      <c r="AB176" s="641"/>
      <c r="AC176" s="1103"/>
      <c r="AE176" s="537" t="s">
        <v>702</v>
      </c>
      <c r="AF176" s="579" t="s">
        <v>697</v>
      </c>
      <c r="AG176" s="567" t="s">
        <v>686</v>
      </c>
      <c r="AH176" s="537" t="s">
        <v>722</v>
      </c>
      <c r="AI176" s="608">
        <v>1</v>
      </c>
      <c r="AJ176" s="538" t="s">
        <v>1095</v>
      </c>
      <c r="AK176" s="537" t="s">
        <v>740</v>
      </c>
      <c r="AL176" s="567" t="s">
        <v>1148</v>
      </c>
    </row>
    <row r="177" spans="1:38" ht="15.75" customHeight="1" thickBot="1">
      <c r="A177" s="1103"/>
      <c r="B177" s="1103"/>
      <c r="C177" s="1103"/>
      <c r="D177" s="488"/>
      <c r="E177" s="1243"/>
      <c r="F177" s="1243"/>
      <c r="G177" s="1243"/>
      <c r="H177" s="1243"/>
      <c r="I177" s="1323"/>
      <c r="J177" s="1307"/>
      <c r="K177" s="632" t="s">
        <v>721</v>
      </c>
      <c r="L177" s="1248" t="s">
        <v>1375</v>
      </c>
      <c r="M177" s="1249"/>
      <c r="N177" s="1249"/>
      <c r="O177" s="1249"/>
      <c r="P177" s="1250"/>
      <c r="Q177" s="590"/>
      <c r="R177" s="1093" t="s">
        <v>1095</v>
      </c>
      <c r="S177" s="575"/>
      <c r="T177" s="589">
        <f t="shared" si="3"/>
        <v>0</v>
      </c>
      <c r="U177" s="589">
        <f t="shared" si="3"/>
        <v>0</v>
      </c>
      <c r="V177" s="589">
        <f>IF($R177="ja",$S177*1,IF($R177="neen","0,00 m²",IF($R177="à encoder","/")))</f>
        <v>0</v>
      </c>
      <c r="W177" s="1201"/>
      <c r="X177" s="1201"/>
      <c r="Y177" s="1201"/>
      <c r="Z177" s="1201"/>
      <c r="AA177" s="1157"/>
      <c r="AB177" s="641"/>
      <c r="AC177" s="1103"/>
      <c r="AE177" s="580" t="s">
        <v>700</v>
      </c>
      <c r="AF177" s="609">
        <v>1</v>
      </c>
      <c r="AG177" s="538" t="s">
        <v>710</v>
      </c>
      <c r="AH177" s="580" t="s">
        <v>739</v>
      </c>
      <c r="AI177" s="608">
        <v>1</v>
      </c>
      <c r="AJ177" s="538" t="s">
        <v>1095</v>
      </c>
      <c r="AK177" s="580" t="s">
        <v>719</v>
      </c>
      <c r="AL177" s="538" t="s">
        <v>1149</v>
      </c>
    </row>
    <row r="178" spans="1:38" ht="15.75" customHeight="1" thickBot="1">
      <c r="A178" s="1103"/>
      <c r="B178" s="1103"/>
      <c r="C178" s="1103"/>
      <c r="D178" s="488"/>
      <c r="E178" s="1243"/>
      <c r="F178" s="1243"/>
      <c r="G178" s="1243"/>
      <c r="H178" s="1243"/>
      <c r="I178" s="1323"/>
      <c r="J178" s="1307"/>
      <c r="K178" s="632" t="s">
        <v>718</v>
      </c>
      <c r="L178" s="1248" t="s">
        <v>1392</v>
      </c>
      <c r="M178" s="1249"/>
      <c r="N178" s="1249"/>
      <c r="O178" s="1249"/>
      <c r="P178" s="1250"/>
      <c r="Q178" s="590"/>
      <c r="R178" s="1093" t="s">
        <v>1095</v>
      </c>
      <c r="S178" s="575"/>
      <c r="T178" s="589">
        <f t="shared" si="3"/>
        <v>0</v>
      </c>
      <c r="U178" s="589">
        <f t="shared" si="3"/>
        <v>0</v>
      </c>
      <c r="V178" s="589">
        <f>IF($R178="ja",$S178*0.5,IF($R178="neen","0,00 m²",IF($R178="à encoder","/")))</f>
        <v>0</v>
      </c>
      <c r="W178" s="1201"/>
      <c r="X178" s="1201"/>
      <c r="Y178" s="1201"/>
      <c r="Z178" s="1201"/>
      <c r="AA178" s="1157"/>
      <c r="AB178" s="641"/>
      <c r="AC178" s="1103"/>
      <c r="AF178" s="579" t="s">
        <v>697</v>
      </c>
      <c r="AG178" s="567" t="s">
        <v>686</v>
      </c>
      <c r="AI178" s="608">
        <v>1</v>
      </c>
      <c r="AJ178" s="538" t="s">
        <v>1095</v>
      </c>
      <c r="AL178" s="567" t="s">
        <v>1150</v>
      </c>
    </row>
    <row r="179" spans="1:38" ht="15.75" customHeight="1" thickBot="1">
      <c r="A179" s="1103"/>
      <c r="B179" s="1103"/>
      <c r="C179" s="1103"/>
      <c r="D179" s="488"/>
      <c r="E179" s="1243"/>
      <c r="F179" s="1243"/>
      <c r="G179" s="1243"/>
      <c r="H179" s="1243"/>
      <c r="I179" s="1323"/>
      <c r="J179" s="1307"/>
      <c r="K179" s="632" t="s">
        <v>716</v>
      </c>
      <c r="L179" s="1248" t="s">
        <v>1376</v>
      </c>
      <c r="M179" s="1249"/>
      <c r="N179" s="1249"/>
      <c r="O179" s="1249"/>
      <c r="P179" s="1250"/>
      <c r="Q179" s="590"/>
      <c r="R179" s="1093" t="s">
        <v>1095</v>
      </c>
      <c r="S179" s="575"/>
      <c r="T179" s="589">
        <f t="shared" si="3"/>
        <v>0</v>
      </c>
      <c r="U179" s="589">
        <f t="shared" si="3"/>
        <v>0</v>
      </c>
      <c r="V179" s="589">
        <f>IF($R179="ja",$S179*0.5,IF($R179="neen","0,00 m²",IF($R179="à encoder","/")))</f>
        <v>0</v>
      </c>
      <c r="W179" s="1201"/>
      <c r="X179" s="1201"/>
      <c r="Y179" s="1201"/>
      <c r="Z179" s="1201"/>
      <c r="AA179" s="1157"/>
      <c r="AB179" s="641"/>
      <c r="AC179" s="1103"/>
      <c r="AF179" s="609">
        <v>1</v>
      </c>
      <c r="AG179" s="538" t="s">
        <v>710</v>
      </c>
      <c r="AI179" s="608">
        <v>1</v>
      </c>
      <c r="AJ179" s="538" t="s">
        <v>1095</v>
      </c>
      <c r="AL179" s="567" t="s">
        <v>1150</v>
      </c>
    </row>
    <row r="180" spans="1:38" ht="15.75" customHeight="1" thickBot="1">
      <c r="A180" s="1103"/>
      <c r="B180" s="1103"/>
      <c r="C180" s="1103"/>
      <c r="D180" s="488"/>
      <c r="E180" s="1243"/>
      <c r="F180" s="1243"/>
      <c r="G180" s="1243"/>
      <c r="H180" s="1243"/>
      <c r="I180" s="1323"/>
      <c r="J180" s="1307"/>
      <c r="K180" s="632" t="s">
        <v>714</v>
      </c>
      <c r="L180" s="1248" t="s">
        <v>1377</v>
      </c>
      <c r="M180" s="1249"/>
      <c r="N180" s="1249"/>
      <c r="O180" s="1249"/>
      <c r="P180" s="1250"/>
      <c r="Q180" s="590"/>
      <c r="R180" s="1093" t="s">
        <v>1095</v>
      </c>
      <c r="S180" s="528"/>
      <c r="T180" s="589"/>
      <c r="U180" s="589"/>
      <c r="V180" s="589"/>
      <c r="W180" s="555"/>
      <c r="X180" s="555"/>
      <c r="Y180" s="555"/>
      <c r="Z180" s="555"/>
      <c r="AA180" s="554"/>
      <c r="AB180" s="641"/>
      <c r="AC180" s="1103"/>
      <c r="AF180" s="475"/>
      <c r="AG180" s="538" t="s">
        <v>710</v>
      </c>
      <c r="AI180" s="608"/>
      <c r="AJ180" s="538" t="s">
        <v>738</v>
      </c>
      <c r="AL180" s="610"/>
    </row>
    <row r="181" spans="1:38" ht="15.75" customHeight="1" thickBot="1">
      <c r="A181" s="1103"/>
      <c r="B181" s="1103"/>
      <c r="C181" s="1103"/>
      <c r="D181" s="488"/>
      <c r="E181" s="1243"/>
      <c r="F181" s="1243"/>
      <c r="G181" s="1243"/>
      <c r="H181" s="1243"/>
      <c r="I181" s="1323"/>
      <c r="J181" s="1307"/>
      <c r="K181" s="632" t="s">
        <v>713</v>
      </c>
      <c r="L181" s="1248" t="s">
        <v>1378</v>
      </c>
      <c r="M181" s="1249"/>
      <c r="N181" s="1249"/>
      <c r="O181" s="1249"/>
      <c r="P181" s="1250"/>
      <c r="Q181" s="590"/>
      <c r="R181" s="1093" t="s">
        <v>1095</v>
      </c>
      <c r="S181" s="575"/>
      <c r="T181" s="589">
        <f>IF($R181="ja",$S181*1,IF($R181="neen","0,00 m²",IF($R181="à encoder","/")))</f>
        <v>0</v>
      </c>
      <c r="U181" s="589">
        <f>IF($R181="ja",$S181*1,IF($R181="neen","0,00 m²",IF($R181="à encoder","/")))</f>
        <v>0</v>
      </c>
      <c r="V181" s="589">
        <f>IF($R181="ja",$S181*0.5,IF($R181="neen","0,00 m²",IF($R181="à encoder","/")))</f>
        <v>0</v>
      </c>
      <c r="W181" s="1201" t="str">
        <f>IF(SUMIF(R181:R187,"ja",(S181:S187))&gt;($J$158),"Surface totale voiries lentes plus grande que la surface encodée dans les caractéristiques physiques du site","")</f>
        <v/>
      </c>
      <c r="X181" s="1201"/>
      <c r="Y181" s="1201"/>
      <c r="Z181" s="1201"/>
      <c r="AA181" s="1157">
        <f>SUMIF(R181:R187,"ja",(S181:S187))/($J$158)</f>
        <v>0</v>
      </c>
      <c r="AB181" s="641"/>
      <c r="AC181" s="1103"/>
      <c r="AF181" s="579" t="s">
        <v>697</v>
      </c>
      <c r="AG181" s="538" t="s">
        <v>723</v>
      </c>
      <c r="AI181" s="608">
        <v>1</v>
      </c>
      <c r="AJ181" s="538" t="s">
        <v>1095</v>
      </c>
      <c r="AL181" s="594" t="s">
        <v>1148</v>
      </c>
    </row>
    <row r="182" spans="1:38" ht="15.75" customHeight="1" thickBot="1">
      <c r="A182" s="1103"/>
      <c r="B182" s="1103"/>
      <c r="C182" s="1103"/>
      <c r="D182" s="488"/>
      <c r="E182" s="1243"/>
      <c r="F182" s="1243"/>
      <c r="G182" s="1243"/>
      <c r="H182" s="1243"/>
      <c r="I182" s="1323"/>
      <c r="J182" s="1307"/>
      <c r="K182" s="632" t="s">
        <v>712</v>
      </c>
      <c r="L182" s="1248" t="s">
        <v>1379</v>
      </c>
      <c r="M182" s="1249"/>
      <c r="N182" s="1249"/>
      <c r="O182" s="1249"/>
      <c r="P182" s="1250"/>
      <c r="Q182" s="590"/>
      <c r="R182" s="1093" t="s">
        <v>1095</v>
      </c>
      <c r="S182" s="1099"/>
      <c r="T182" s="589">
        <f>IF($R182="ja",$S182*0.75,IF($R182="neen","0,00 m²",IF($R182="à encoder","/")))</f>
        <v>0</v>
      </c>
      <c r="U182" s="589">
        <f>IF($R182="ja",$S182*1,IF($R182="neen","0,00 m²",IF($R182="à encoder","/")))</f>
        <v>0</v>
      </c>
      <c r="V182" s="589">
        <f>IF($R182="ja",$S182*0,IF($R182="neen","0,00 m²",IF($R182="à encoder","/")))</f>
        <v>0</v>
      </c>
      <c r="W182" s="1201"/>
      <c r="X182" s="1201"/>
      <c r="Y182" s="1201"/>
      <c r="Z182" s="1201"/>
      <c r="AA182" s="1157"/>
      <c r="AB182" s="641"/>
      <c r="AC182" s="1103"/>
      <c r="AF182" s="593" t="s">
        <v>720</v>
      </c>
      <c r="AG182" s="538" t="s">
        <v>689</v>
      </c>
      <c r="AI182" s="608">
        <v>1</v>
      </c>
      <c r="AJ182" s="538" t="s">
        <v>1095</v>
      </c>
      <c r="AL182" s="591">
        <v>0</v>
      </c>
    </row>
    <row r="183" spans="1:38" ht="15.75" customHeight="1" thickBot="1">
      <c r="A183" s="1103"/>
      <c r="B183" s="1103"/>
      <c r="C183" s="1103"/>
      <c r="D183" s="488"/>
      <c r="E183" s="1243"/>
      <c r="F183" s="1243"/>
      <c r="G183" s="1243"/>
      <c r="H183" s="1243"/>
      <c r="I183" s="1323"/>
      <c r="J183" s="1307"/>
      <c r="K183" s="632" t="s">
        <v>711</v>
      </c>
      <c r="L183" s="1248" t="s">
        <v>1380</v>
      </c>
      <c r="M183" s="1249"/>
      <c r="N183" s="1249"/>
      <c r="O183" s="1249"/>
      <c r="P183" s="1250"/>
      <c r="Q183" s="590"/>
      <c r="R183" s="1093" t="s">
        <v>1095</v>
      </c>
      <c r="S183" s="575"/>
      <c r="T183" s="589">
        <f>IF($R183="ja",$S183*0.5,IF($R183="neen","0,00 m²",IF($R183="à encoder","/")))</f>
        <v>0</v>
      </c>
      <c r="U183" s="589">
        <f>IF($R183="ja",$S183*0,IF($R183="neen","0,00 m²",IF($R183="à encoder","/")))</f>
        <v>0</v>
      </c>
      <c r="V183" s="589">
        <f>IF($R183="ja",$S183*0,IF($R183="neen","0,00 m²",IF($R183="à encoder","/")))</f>
        <v>0</v>
      </c>
      <c r="W183" s="1201"/>
      <c r="X183" s="1201"/>
      <c r="Y183" s="1201"/>
      <c r="Z183" s="1201"/>
      <c r="AA183" s="1157"/>
      <c r="AB183" s="641"/>
      <c r="AC183" s="1103"/>
      <c r="AF183" s="568" t="s">
        <v>692</v>
      </c>
      <c r="AG183" s="538" t="s">
        <v>717</v>
      </c>
      <c r="AI183" s="605">
        <v>0</v>
      </c>
      <c r="AJ183" s="576" t="s">
        <v>1096</v>
      </c>
      <c r="AL183" s="591">
        <v>0</v>
      </c>
    </row>
    <row r="184" spans="1:38" ht="15.75" customHeight="1" thickBot="1">
      <c r="A184" s="1103"/>
      <c r="B184" s="1103"/>
      <c r="C184" s="1103"/>
      <c r="D184" s="488"/>
      <c r="E184" s="1243"/>
      <c r="F184" s="1243"/>
      <c r="G184" s="1243"/>
      <c r="H184" s="1243"/>
      <c r="I184" s="1323"/>
      <c r="J184" s="1307"/>
      <c r="K184" s="632" t="s">
        <v>709</v>
      </c>
      <c r="L184" s="1248" t="s">
        <v>1381</v>
      </c>
      <c r="M184" s="1249"/>
      <c r="N184" s="1249"/>
      <c r="O184" s="1249"/>
      <c r="P184" s="1250"/>
      <c r="Q184" s="590"/>
      <c r="R184" s="1093" t="s">
        <v>1095</v>
      </c>
      <c r="S184" s="575"/>
      <c r="T184" s="589">
        <f>IF($R184="ja",$S184*0.5,IF($R184="neen","0,00 m²",IF($R184="à encoder","/")))</f>
        <v>0</v>
      </c>
      <c r="U184" s="589">
        <f>IF($R184="ja",$S184*0,IF($R184="neen","0,00 m²",IF($R184="à encoder","/")))</f>
        <v>0</v>
      </c>
      <c r="V184" s="589">
        <f>IF($R184="ja",$S184*0,IF($R184="neen","0,00 m²",IF($R184="à encoder","/")))</f>
        <v>0</v>
      </c>
      <c r="W184" s="1201"/>
      <c r="X184" s="1201"/>
      <c r="Y184" s="1201"/>
      <c r="Z184" s="1201"/>
      <c r="AA184" s="1157"/>
      <c r="AB184" s="641"/>
      <c r="AC184" s="1103"/>
      <c r="AF184" s="568" t="s">
        <v>692</v>
      </c>
      <c r="AG184" s="538" t="s">
        <v>715</v>
      </c>
      <c r="AI184" s="605">
        <v>0</v>
      </c>
      <c r="AJ184" s="576" t="s">
        <v>1096</v>
      </c>
      <c r="AL184" s="591">
        <v>0</v>
      </c>
    </row>
    <row r="185" spans="1:38" ht="15.75" customHeight="1" thickBot="1">
      <c r="A185" s="1103"/>
      <c r="B185" s="1103"/>
      <c r="C185" s="1103"/>
      <c r="D185" s="488"/>
      <c r="E185" s="1243"/>
      <c r="F185" s="1243"/>
      <c r="G185" s="1243"/>
      <c r="H185" s="1243"/>
      <c r="I185" s="1323"/>
      <c r="J185" s="1307"/>
      <c r="K185" s="632" t="s">
        <v>737</v>
      </c>
      <c r="L185" s="1248" t="s">
        <v>1382</v>
      </c>
      <c r="M185" s="1249"/>
      <c r="N185" s="1249"/>
      <c r="O185" s="1249"/>
      <c r="P185" s="1250"/>
      <c r="Q185" s="590"/>
      <c r="R185" s="1093" t="s">
        <v>1095</v>
      </c>
      <c r="S185" s="575"/>
      <c r="T185" s="589">
        <f>IF($R185="ja",$S185*0.25,IF($R185="neen","0,00 m²",IF($R185="à encoder","/")))</f>
        <v>0</v>
      </c>
      <c r="U185" s="589">
        <f>IF($R185="ja",$S185*0,IF($R185="neen","0,00 m²",IF($R185="à encoder","/")))</f>
        <v>0</v>
      </c>
      <c r="V185" s="589">
        <f>IF($R185="ja",$S185*0.5,IF($R185="neen","0,00 m²",IF($R185="à encoder","/")))</f>
        <v>0</v>
      </c>
      <c r="W185" s="1201"/>
      <c r="X185" s="1201"/>
      <c r="Y185" s="1201"/>
      <c r="Z185" s="1201"/>
      <c r="AA185" s="1157"/>
      <c r="AB185" s="641"/>
      <c r="AC185" s="1103"/>
      <c r="AF185" s="577" t="s">
        <v>687</v>
      </c>
      <c r="AG185" s="538" t="s">
        <v>686</v>
      </c>
      <c r="AI185" s="605">
        <v>0</v>
      </c>
      <c r="AJ185" s="576" t="s">
        <v>1096</v>
      </c>
      <c r="AL185" s="567" t="s">
        <v>1150</v>
      </c>
    </row>
    <row r="186" spans="1:38" ht="15.75" customHeight="1" thickBot="1">
      <c r="A186" s="1103"/>
      <c r="B186" s="1103"/>
      <c r="C186" s="1103"/>
      <c r="D186" s="488"/>
      <c r="E186" s="1243"/>
      <c r="F186" s="1243"/>
      <c r="G186" s="1243"/>
      <c r="H186" s="1243"/>
      <c r="I186" s="1323"/>
      <c r="J186" s="1307"/>
      <c r="K186" s="632" t="s">
        <v>736</v>
      </c>
      <c r="L186" s="1248" t="s">
        <v>1383</v>
      </c>
      <c r="M186" s="1249"/>
      <c r="N186" s="1249"/>
      <c r="O186" s="1249"/>
      <c r="P186" s="1250"/>
      <c r="Q186" s="590"/>
      <c r="R186" s="1093" t="s">
        <v>1095</v>
      </c>
      <c r="S186" s="575"/>
      <c r="T186" s="589">
        <f>IF($R186="ja",$S186*0.25,IF($R186="neen","0,00 m²",IF($R186="à encoder","/")))</f>
        <v>0</v>
      </c>
      <c r="U186" s="589">
        <f>IF($R186="ja",$S186*0,IF($R186="neen","0,00 m²",IF($R186="à encoder","/")))</f>
        <v>0</v>
      </c>
      <c r="V186" s="589">
        <f>IF($R186="ja",$S186*0.5,IF($R186="neen","0,00 m²",IF($R186="à encoder","/")))</f>
        <v>0</v>
      </c>
      <c r="W186" s="1201"/>
      <c r="X186" s="1201"/>
      <c r="Y186" s="1201"/>
      <c r="Z186" s="1201"/>
      <c r="AA186" s="1157"/>
      <c r="AB186" s="641"/>
      <c r="AC186" s="1103"/>
      <c r="AF186" s="577" t="s">
        <v>687</v>
      </c>
      <c r="AG186" s="538" t="s">
        <v>686</v>
      </c>
      <c r="AI186" s="605">
        <v>0</v>
      </c>
      <c r="AJ186" s="576" t="s">
        <v>1096</v>
      </c>
      <c r="AL186" s="567" t="s">
        <v>1150</v>
      </c>
    </row>
    <row r="187" spans="1:38" ht="15.75" customHeight="1" thickBot="1">
      <c r="A187" s="1103"/>
      <c r="B187" s="1103"/>
      <c r="C187" s="1103"/>
      <c r="D187" s="488"/>
      <c r="E187" s="1243"/>
      <c r="F187" s="1243"/>
      <c r="G187" s="1243"/>
      <c r="H187" s="1243"/>
      <c r="I187" s="1323"/>
      <c r="J187" s="1307"/>
      <c r="K187" s="632" t="s">
        <v>735</v>
      </c>
      <c r="L187" s="1248" t="s">
        <v>1384</v>
      </c>
      <c r="M187" s="1249"/>
      <c r="N187" s="1249"/>
      <c r="O187" s="1249"/>
      <c r="P187" s="1250"/>
      <c r="Q187" s="590"/>
      <c r="R187" s="1093" t="s">
        <v>1095</v>
      </c>
      <c r="S187" s="575"/>
      <c r="T187" s="589">
        <f t="shared" ref="T187:V188" si="4">IF($R187="ja",$S187*1,IF($R187="neen","0,00 m²",IF($R187="à encoder","/")))</f>
        <v>0</v>
      </c>
      <c r="U187" s="589">
        <f t="shared" si="4"/>
        <v>0</v>
      </c>
      <c r="V187" s="589">
        <f t="shared" si="4"/>
        <v>0</v>
      </c>
      <c r="W187" s="1201"/>
      <c r="X187" s="1201"/>
      <c r="Y187" s="1201"/>
      <c r="Z187" s="1201"/>
      <c r="AA187" s="1157"/>
      <c r="AB187" s="641"/>
      <c r="AC187" s="1103"/>
      <c r="AF187" s="609">
        <v>1</v>
      </c>
      <c r="AG187" s="538" t="s">
        <v>734</v>
      </c>
      <c r="AI187" s="608">
        <v>1</v>
      </c>
      <c r="AJ187" s="538" t="s">
        <v>1095</v>
      </c>
      <c r="AL187" s="538" t="s">
        <v>1149</v>
      </c>
    </row>
    <row r="188" spans="1:38" ht="15.75" customHeight="1" thickBot="1">
      <c r="A188" s="1103"/>
      <c r="B188" s="1103"/>
      <c r="C188" s="1103"/>
      <c r="D188" s="488"/>
      <c r="E188" s="1243"/>
      <c r="F188" s="1243"/>
      <c r="G188" s="1243"/>
      <c r="H188" s="1243"/>
      <c r="I188" s="1323"/>
      <c r="J188" s="1307"/>
      <c r="K188" s="632" t="s">
        <v>733</v>
      </c>
      <c r="L188" s="1248" t="s">
        <v>1385</v>
      </c>
      <c r="M188" s="1249"/>
      <c r="N188" s="1249"/>
      <c r="O188" s="1249"/>
      <c r="P188" s="1250"/>
      <c r="Q188" s="590"/>
      <c r="R188" s="1093" t="s">
        <v>1095</v>
      </c>
      <c r="S188" s="575"/>
      <c r="T188" s="589">
        <f t="shared" si="4"/>
        <v>0</v>
      </c>
      <c r="U188" s="589">
        <f t="shared" si="4"/>
        <v>0</v>
      </c>
      <c r="V188" s="589">
        <f t="shared" si="4"/>
        <v>0</v>
      </c>
      <c r="W188" s="1479" t="str">
        <f>IF(SUMIF(R188:R194,"ja",(S188:S194))&gt;($J$162),"Surface totale sentiers piétons plus grande que la surface encodée dans les caractéristiques physiques du site","")</f>
        <v/>
      </c>
      <c r="X188" s="1479"/>
      <c r="Y188" s="1479"/>
      <c r="Z188" s="1479"/>
      <c r="AA188" s="1157">
        <f>SUMIF(R188:R194,"ja",(S188:S194))/($J$162)</f>
        <v>0</v>
      </c>
      <c r="AB188" s="641"/>
      <c r="AC188" s="1103"/>
      <c r="AF188" s="579" t="s">
        <v>697</v>
      </c>
      <c r="AG188" s="538" t="s">
        <v>699</v>
      </c>
      <c r="AI188" s="608">
        <v>1</v>
      </c>
      <c r="AJ188" s="538" t="s">
        <v>1095</v>
      </c>
      <c r="AL188" s="538" t="s">
        <v>1149</v>
      </c>
    </row>
    <row r="189" spans="1:38" ht="15.75" customHeight="1" thickBot="1">
      <c r="A189" s="1103"/>
      <c r="B189" s="1103"/>
      <c r="C189" s="1103"/>
      <c r="D189" s="488"/>
      <c r="E189" s="1243"/>
      <c r="F189" s="1243"/>
      <c r="G189" s="1243"/>
      <c r="H189" s="1243"/>
      <c r="I189" s="1323"/>
      <c r="J189" s="1307"/>
      <c r="K189" s="632" t="s">
        <v>732</v>
      </c>
      <c r="L189" s="1248" t="s">
        <v>1386</v>
      </c>
      <c r="M189" s="1249"/>
      <c r="N189" s="1249"/>
      <c r="O189" s="1249"/>
      <c r="P189" s="1250"/>
      <c r="Q189" s="590"/>
      <c r="R189" s="1093" t="s">
        <v>1095</v>
      </c>
      <c r="S189" s="575"/>
      <c r="T189" s="589">
        <f>IF($R189="ja",$S189*0.75,IF($R189="neen","0,00 m²",IF($R189="à encoder","/")))</f>
        <v>0</v>
      </c>
      <c r="U189" s="589">
        <f>IF($R189="ja",$S189*1,IF($R189="neen","0,00 m²",IF($R189="à encoder","/")))</f>
        <v>0</v>
      </c>
      <c r="V189" s="589">
        <f>IF($R189="ja",$S189*0.5,IF($R189="neen","0,00 m²",IF($R189="à encoder","/")))</f>
        <v>0</v>
      </c>
      <c r="W189" s="1479"/>
      <c r="X189" s="1479"/>
      <c r="Y189" s="1479"/>
      <c r="Z189" s="1479"/>
      <c r="AA189" s="1157"/>
      <c r="AB189" s="641"/>
      <c r="AC189" s="1103"/>
      <c r="AF189" s="593" t="s">
        <v>720</v>
      </c>
      <c r="AG189" s="538" t="s">
        <v>723</v>
      </c>
      <c r="AI189" s="608">
        <v>1</v>
      </c>
      <c r="AJ189" s="538" t="s">
        <v>1095</v>
      </c>
      <c r="AL189" s="567" t="s">
        <v>1150</v>
      </c>
    </row>
    <row r="190" spans="1:38" ht="15.75" customHeight="1" thickBot="1">
      <c r="A190" s="1103"/>
      <c r="B190" s="1103"/>
      <c r="C190" s="1103"/>
      <c r="D190" s="488"/>
      <c r="E190" s="1243"/>
      <c r="F190" s="1243"/>
      <c r="G190" s="1243"/>
      <c r="H190" s="1243"/>
      <c r="I190" s="1323"/>
      <c r="J190" s="1307"/>
      <c r="K190" s="632" t="s">
        <v>731</v>
      </c>
      <c r="L190" s="1248" t="s">
        <v>1387</v>
      </c>
      <c r="M190" s="1249"/>
      <c r="N190" s="1249"/>
      <c r="O190" s="1249"/>
      <c r="P190" s="1250"/>
      <c r="Q190" s="590"/>
      <c r="R190" s="1093" t="s">
        <v>1095</v>
      </c>
      <c r="S190" s="575"/>
      <c r="T190" s="589">
        <f>IF($R190="ja",$S190*0.5,IF($R190="neen","0,00 m²",IF($R190="à encoder","/")))</f>
        <v>0</v>
      </c>
      <c r="U190" s="589">
        <f t="shared" ref="U190:V192" si="5">IF($R190="ja",$S190*0,IF($R190="neen","0,00 m²",IF($R190="à encoder","/")))</f>
        <v>0</v>
      </c>
      <c r="V190" s="589">
        <f t="shared" si="5"/>
        <v>0</v>
      </c>
      <c r="W190" s="1479"/>
      <c r="X190" s="1479"/>
      <c r="Y190" s="1479"/>
      <c r="Z190" s="1479"/>
      <c r="AA190" s="1157"/>
      <c r="AB190" s="641"/>
      <c r="AC190" s="1103"/>
      <c r="AF190" s="593" t="s">
        <v>720</v>
      </c>
      <c r="AG190" s="538" t="s">
        <v>689</v>
      </c>
      <c r="AI190" s="605">
        <v>0</v>
      </c>
      <c r="AJ190" s="576" t="s">
        <v>1096</v>
      </c>
      <c r="AL190" s="591">
        <v>0</v>
      </c>
    </row>
    <row r="191" spans="1:38" ht="15.75" customHeight="1" thickBot="1">
      <c r="A191" s="1103"/>
      <c r="B191" s="1103"/>
      <c r="C191" s="1103"/>
      <c r="D191" s="488"/>
      <c r="E191" s="1243"/>
      <c r="F191" s="1243"/>
      <c r="G191" s="1243"/>
      <c r="H191" s="1243"/>
      <c r="I191" s="1323"/>
      <c r="J191" s="1307"/>
      <c r="K191" s="632" t="s">
        <v>730</v>
      </c>
      <c r="L191" s="1248" t="s">
        <v>1388</v>
      </c>
      <c r="M191" s="1249"/>
      <c r="N191" s="1249"/>
      <c r="O191" s="1249"/>
      <c r="P191" s="1250"/>
      <c r="Q191" s="590"/>
      <c r="R191" s="1093" t="s">
        <v>1095</v>
      </c>
      <c r="S191" s="575"/>
      <c r="T191" s="589">
        <f>IF($R191="ja",$S191*0.75,IF($R191="neen","0,00 m²",IF($R191="à encoder","/")))</f>
        <v>0</v>
      </c>
      <c r="U191" s="589">
        <f t="shared" si="5"/>
        <v>0</v>
      </c>
      <c r="V191" s="589">
        <f t="shared" si="5"/>
        <v>0</v>
      </c>
      <c r="W191" s="1479"/>
      <c r="X191" s="1479"/>
      <c r="Y191" s="1479"/>
      <c r="Z191" s="1479"/>
      <c r="AA191" s="1157"/>
      <c r="AB191" s="641"/>
      <c r="AC191" s="1103"/>
      <c r="AF191" s="568" t="s">
        <v>692</v>
      </c>
      <c r="AG191" s="538" t="s">
        <v>717</v>
      </c>
      <c r="AI191" s="605">
        <v>0</v>
      </c>
      <c r="AJ191" s="576" t="s">
        <v>1096</v>
      </c>
      <c r="AL191" s="591">
        <v>0</v>
      </c>
    </row>
    <row r="192" spans="1:38" ht="15.75" customHeight="1" thickBot="1">
      <c r="A192" s="1103"/>
      <c r="B192" s="1103"/>
      <c r="C192" s="1103"/>
      <c r="D192" s="488"/>
      <c r="E192" s="1243"/>
      <c r="F192" s="1243"/>
      <c r="G192" s="1243"/>
      <c r="H192" s="1243"/>
      <c r="I192" s="1323"/>
      <c r="J192" s="1307"/>
      <c r="K192" s="632" t="s">
        <v>729</v>
      </c>
      <c r="L192" s="1248" t="s">
        <v>1389</v>
      </c>
      <c r="M192" s="1249"/>
      <c r="N192" s="1249"/>
      <c r="O192" s="1249"/>
      <c r="P192" s="1250"/>
      <c r="Q192" s="590"/>
      <c r="R192" s="1093" t="s">
        <v>1095</v>
      </c>
      <c r="S192" s="575"/>
      <c r="T192" s="589">
        <f>IF($R192="ja",$S192*0.5,IF($R192="neen","0,00 m²",IF($R192="à encoder","/")))</f>
        <v>0</v>
      </c>
      <c r="U192" s="589">
        <f t="shared" si="5"/>
        <v>0</v>
      </c>
      <c r="V192" s="589">
        <f t="shared" si="5"/>
        <v>0</v>
      </c>
      <c r="W192" s="1479"/>
      <c r="X192" s="1479"/>
      <c r="Y192" s="1479"/>
      <c r="Z192" s="1479"/>
      <c r="AA192" s="1157"/>
      <c r="AB192" s="641"/>
      <c r="AC192" s="1103"/>
      <c r="AF192" s="568" t="s">
        <v>692</v>
      </c>
      <c r="AG192" s="538" t="s">
        <v>715</v>
      </c>
      <c r="AI192" s="605">
        <v>0</v>
      </c>
      <c r="AJ192" s="576" t="s">
        <v>1096</v>
      </c>
      <c r="AL192" s="591">
        <v>0</v>
      </c>
    </row>
    <row r="193" spans="1:38" ht="15.75" customHeight="1" thickBot="1">
      <c r="A193" s="1103"/>
      <c r="B193" s="1103"/>
      <c r="C193" s="1103"/>
      <c r="D193" s="488"/>
      <c r="E193" s="1243"/>
      <c r="F193" s="1243"/>
      <c r="G193" s="1243"/>
      <c r="H193" s="1243"/>
      <c r="I193" s="1323"/>
      <c r="J193" s="1307"/>
      <c r="K193" s="632" t="s">
        <v>728</v>
      </c>
      <c r="L193" s="1248" t="s">
        <v>1390</v>
      </c>
      <c r="M193" s="1249"/>
      <c r="N193" s="1249"/>
      <c r="O193" s="1249"/>
      <c r="P193" s="1250"/>
      <c r="Q193" s="590"/>
      <c r="R193" s="1093" t="s">
        <v>1095</v>
      </c>
      <c r="S193" s="575"/>
      <c r="T193" s="589">
        <f>IF($R193="ja",$S193*0.25,IF($R193="neen","0,00 m²",IF($R193="à encoder","/")))</f>
        <v>0</v>
      </c>
      <c r="U193" s="589">
        <f>IF($R193="ja",$S193*0,IF($R193="neen","0,00 m²",IF($R193="à encoder","/")))</f>
        <v>0</v>
      </c>
      <c r="V193" s="589">
        <f>IF($R193="ja",$S193*0.5,IF($R193="neen","0,00 m²",IF($R193="à encoder","/")))</f>
        <v>0</v>
      </c>
      <c r="W193" s="523" t="s">
        <v>665</v>
      </c>
      <c r="X193" s="523" t="s">
        <v>664</v>
      </c>
      <c r="Y193" s="523" t="s">
        <v>663</v>
      </c>
      <c r="Z193" s="523" t="s">
        <v>662</v>
      </c>
      <c r="AA193" s="607"/>
      <c r="AB193" s="641"/>
      <c r="AC193" s="1103"/>
      <c r="AF193" s="577" t="s">
        <v>687</v>
      </c>
      <c r="AG193" s="538" t="s">
        <v>686</v>
      </c>
      <c r="AI193" s="605">
        <v>0</v>
      </c>
      <c r="AJ193" s="576" t="s">
        <v>1096</v>
      </c>
      <c r="AL193" s="567" t="s">
        <v>1150</v>
      </c>
    </row>
    <row r="194" spans="1:38" ht="15.75" customHeight="1" thickBot="1">
      <c r="A194" s="1103"/>
      <c r="B194" s="1103"/>
      <c r="C194" s="1103"/>
      <c r="D194" s="488"/>
      <c r="E194" s="1252"/>
      <c r="F194" s="1252"/>
      <c r="G194" s="1252"/>
      <c r="H194" s="1252"/>
      <c r="I194" s="1324"/>
      <c r="J194" s="1308"/>
      <c r="K194" s="632" t="s">
        <v>727</v>
      </c>
      <c r="L194" s="1248" t="s">
        <v>1391</v>
      </c>
      <c r="M194" s="1249"/>
      <c r="N194" s="1249"/>
      <c r="O194" s="1249"/>
      <c r="P194" s="1250"/>
      <c r="Q194" s="590"/>
      <c r="R194" s="1093" t="s">
        <v>1095</v>
      </c>
      <c r="S194" s="575"/>
      <c r="T194" s="589">
        <f>IF($R194="ja",$S194*0.25,IF($R194="neen","0,00 m²",IF($R194="à encoder","/")))</f>
        <v>0</v>
      </c>
      <c r="U194" s="589">
        <f>IF($R194="ja",$S194*0,IF($R194="neen","0,00 m²",IF($R194="à encoder","/")))</f>
        <v>0</v>
      </c>
      <c r="V194" s="589">
        <f>IF($R194="ja",$S194*0.5,IF($R194="neen","0,00 m²",IF($R194="à encoder","/")))</f>
        <v>0</v>
      </c>
      <c r="W194" s="1202">
        <f>IF(S196="/","/",1-S196/S195)</f>
        <v>0</v>
      </c>
      <c r="X194" s="1202"/>
      <c r="Y194" s="1202"/>
      <c r="Z194" s="555"/>
      <c r="AA194" s="530" t="s">
        <v>391</v>
      </c>
      <c r="AB194" s="641"/>
      <c r="AC194" s="1103"/>
      <c r="AF194" s="577" t="s">
        <v>687</v>
      </c>
      <c r="AG194" s="538" t="s">
        <v>686</v>
      </c>
      <c r="AI194" s="605">
        <v>0</v>
      </c>
      <c r="AJ194" s="576" t="s">
        <v>1096</v>
      </c>
      <c r="AL194" s="567" t="s">
        <v>1150</v>
      </c>
    </row>
    <row r="195" spans="1:38" ht="15.75" customHeight="1" thickBot="1">
      <c r="A195" s="1103"/>
      <c r="B195" s="1103"/>
      <c r="C195" s="1103"/>
      <c r="D195" s="488"/>
      <c r="E195" s="604" t="s">
        <v>1121</v>
      </c>
      <c r="F195" s="604" t="s">
        <v>1122</v>
      </c>
      <c r="G195" s="604" t="s">
        <v>674</v>
      </c>
      <c r="H195" s="604" t="s">
        <v>1500</v>
      </c>
      <c r="I195" s="1108" t="s">
        <v>726</v>
      </c>
      <c r="J195" s="1215" t="s">
        <v>1449</v>
      </c>
      <c r="K195" s="1216"/>
      <c r="L195" s="1216"/>
      <c r="M195" s="1216"/>
      <c r="N195" s="1216"/>
      <c r="O195" s="1216"/>
      <c r="P195" s="1217"/>
      <c r="Q195" s="590"/>
      <c r="R195" s="572"/>
      <c r="S195" s="588">
        <f>M154</f>
        <v>485</v>
      </c>
      <c r="T195" s="570"/>
      <c r="U195" s="555"/>
      <c r="V195" s="603"/>
      <c r="W195" s="587">
        <f>IF(W194="/","/",IF(ISERROR(W194)=TRUE,"/",IF(W194&gt;100%,"FAUX",(SUM(T176:T194)/S195))))</f>
        <v>0</v>
      </c>
      <c r="X195" s="587">
        <f>IF(W194="/","/",IF(ISERROR(W194)=TRUE,"/",IF(W194&gt;100%,"FAUX",(SUM(U176:U194)/S195))))</f>
        <v>0</v>
      </c>
      <c r="Y195" s="587">
        <f>IF(W194="/","/",IF(ISERROR(W194)=TRUE,"/",IF(W194&gt;100%,"FAUX",(SUM(V176:V194)/S195))))</f>
        <v>0</v>
      </c>
      <c r="Z195" s="602" t="str">
        <f>IF(R180="à encoder","/",R180)</f>
        <v>ja</v>
      </c>
      <c r="AA195" s="522">
        <f>IF(OR(W195="/",X195="/",Y195="/",Z195="/"),"/",IF(OR(W194&gt;100%,AA176&gt;100%,AA181&gt;100%,AA188&gt;100%),"/",IF(AND(($W195&gt;=90%),($X195&gt;=90%),($Y195&gt;=90%),(Z195="ja")),"4",IF(AND(($W195&gt;=75%),($X195&gt;=75%),($Y195&gt;=75%)),"3",IF(AND(($W195&gt;=50%),($X195&gt;=50%),($Y195&gt;=50%)),"2",IF(AND(($W195&gt;=25%),($X195&gt;=25%),($Y195&gt;=25%)),"1",0))))))</f>
        <v>0</v>
      </c>
      <c r="AB195" s="641"/>
      <c r="AC195" s="1103"/>
    </row>
    <row r="196" spans="1:38" ht="15" customHeight="1" thickBot="1">
      <c r="A196" s="1103"/>
      <c r="B196" s="1103"/>
      <c r="C196" s="1103"/>
      <c r="D196" s="488"/>
      <c r="E196" s="1218" t="s">
        <v>672</v>
      </c>
      <c r="F196" s="1218" t="s">
        <v>672</v>
      </c>
      <c r="G196" s="1218" t="s">
        <v>672</v>
      </c>
      <c r="H196" s="1485" t="s">
        <v>672</v>
      </c>
      <c r="I196" s="1488" t="s">
        <v>725</v>
      </c>
      <c r="J196" s="637" t="s">
        <v>1127</v>
      </c>
      <c r="K196" s="1158" t="s">
        <v>1450</v>
      </c>
      <c r="L196" s="1159"/>
      <c r="M196" s="636" t="s">
        <v>641</v>
      </c>
      <c r="N196" s="636" t="s">
        <v>639</v>
      </c>
      <c r="O196" s="636" t="s">
        <v>638</v>
      </c>
      <c r="P196" s="635" t="s">
        <v>636</v>
      </c>
      <c r="Q196" s="590"/>
      <c r="R196" s="566" t="s">
        <v>708</v>
      </c>
      <c r="S196" s="585">
        <f>IF(OR(R176="à encoder",R177="à encoder",R178="à encoder",R179="à encoder",R181="à encoder",R182="à encoder",R183="à encoder",R184="à encoder",R185="à encoder",R186="à encoder",R187="à encoder",R188="à encoder",R189="à encoder",R190="à encoder",R191="à encoder",R192="à encoder",R193="à encoder",R194="à encoder"),"/",S195-SUMIF(R176:R194,"ja",S176:S194))</f>
        <v>485</v>
      </c>
      <c r="T196" s="564"/>
      <c r="U196" s="584"/>
      <c r="V196" s="584"/>
      <c r="W196" s="519" t="s">
        <v>707</v>
      </c>
      <c r="X196" s="519" t="s">
        <v>1502</v>
      </c>
      <c r="Y196" s="519" t="s">
        <v>706</v>
      </c>
      <c r="Z196" s="519" t="s">
        <v>1503</v>
      </c>
      <c r="AA196" s="583"/>
      <c r="AB196" s="641"/>
      <c r="AC196" s="1103"/>
    </row>
    <row r="197" spans="1:38" ht="93" customHeight="1" thickBot="1">
      <c r="A197" s="1103"/>
      <c r="B197" s="1106"/>
      <c r="C197" s="1103"/>
      <c r="D197" s="488"/>
      <c r="E197" s="1219"/>
      <c r="F197" s="1219"/>
      <c r="G197" s="1219"/>
      <c r="H197" s="1486"/>
      <c r="I197" s="1489"/>
      <c r="J197" s="634" t="s">
        <v>1135</v>
      </c>
      <c r="K197" s="1160" t="s">
        <v>1451</v>
      </c>
      <c r="L197" s="1244"/>
      <c r="M197" s="614" t="s">
        <v>1452</v>
      </c>
      <c r="N197" s="600" t="s">
        <v>1453</v>
      </c>
      <c r="O197" s="614" t="s">
        <v>1454</v>
      </c>
      <c r="P197" s="600" t="s">
        <v>1455</v>
      </c>
      <c r="Q197" s="488"/>
      <c r="R197" s="515"/>
      <c r="S197" s="497"/>
      <c r="T197" s="599"/>
      <c r="U197" s="496"/>
      <c r="V197" s="598"/>
      <c r="W197" s="497"/>
      <c r="X197" s="497"/>
      <c r="Y197" s="497"/>
      <c r="Z197" s="497"/>
      <c r="AA197" s="497"/>
      <c r="AB197" s="485"/>
      <c r="AC197" s="1103"/>
    </row>
    <row r="198" spans="1:38" ht="15.75" customHeight="1" thickBot="1">
      <c r="A198" s="1103"/>
      <c r="B198" s="1103"/>
      <c r="C198" s="1103"/>
      <c r="D198" s="488"/>
      <c r="E198" s="1219"/>
      <c r="F198" s="1219"/>
      <c r="G198" s="1219"/>
      <c r="H198" s="1486"/>
      <c r="I198" s="1489"/>
      <c r="J198" s="1306" t="s">
        <v>1132</v>
      </c>
      <c r="K198" s="633" t="s">
        <v>724</v>
      </c>
      <c r="L198" s="1248" t="s">
        <v>1456</v>
      </c>
      <c r="M198" s="1249"/>
      <c r="N198" s="1249"/>
      <c r="O198" s="1249"/>
      <c r="P198" s="1250"/>
      <c r="Q198" s="590"/>
      <c r="R198" s="1093" t="s">
        <v>1095</v>
      </c>
      <c r="S198" s="597">
        <v>350</v>
      </c>
      <c r="T198" s="596">
        <f>IF($R198="ja",$S198*1,IF($R198="neen","0,00 m²",IF($R198="à encoder","/")))</f>
        <v>350</v>
      </c>
      <c r="U198" s="596">
        <f>IF($R198="ja",$S198*0.5,IF($R198="neen","0,00 m²",IF($R198="à encoder","/")))</f>
        <v>175</v>
      </c>
      <c r="V198" s="1200" t="str">
        <f>IF(S207&lt;0,"Surface totale zones de stationnement et/ou d'entreposage plus grande que la surface encodée dans les caractéristiques physiques du site","")</f>
        <v/>
      </c>
      <c r="W198" s="1200"/>
      <c r="X198" s="1200"/>
      <c r="Y198" s="1200"/>
      <c r="Z198" s="1200"/>
      <c r="AA198" s="595"/>
      <c r="AB198" s="485"/>
      <c r="AC198" s="1103"/>
      <c r="AE198" s="537" t="s">
        <v>702</v>
      </c>
      <c r="AF198" s="579" t="s">
        <v>697</v>
      </c>
      <c r="AG198" s="538" t="s">
        <v>723</v>
      </c>
      <c r="AH198" s="537" t="s">
        <v>722</v>
      </c>
      <c r="AI198" s="594" t="s">
        <v>1148</v>
      </c>
      <c r="AJ198" s="576"/>
      <c r="AK198" s="537"/>
    </row>
    <row r="199" spans="1:38" ht="15.75" customHeight="1" thickBot="1">
      <c r="A199" s="1103"/>
      <c r="B199" s="1103"/>
      <c r="C199" s="1103"/>
      <c r="D199" s="488"/>
      <c r="E199" s="1219"/>
      <c r="F199" s="1219"/>
      <c r="G199" s="1219"/>
      <c r="H199" s="1486"/>
      <c r="I199" s="1489"/>
      <c r="J199" s="1307"/>
      <c r="K199" s="632" t="s">
        <v>721</v>
      </c>
      <c r="L199" s="1248" t="s">
        <v>1457</v>
      </c>
      <c r="M199" s="1249"/>
      <c r="N199" s="1249"/>
      <c r="O199" s="1249"/>
      <c r="P199" s="1250"/>
      <c r="Q199" s="590"/>
      <c r="R199" s="1093" t="s">
        <v>1096</v>
      </c>
      <c r="S199" s="575">
        <v>1</v>
      </c>
      <c r="T199" s="589" t="str">
        <f>IF($R199="ja",$S199*0.75,IF($R199="neen","0,00 m²",IF($R199="à encoder","/")))</f>
        <v>0,00 m²</v>
      </c>
      <c r="U199" s="589" t="str">
        <f>IF($R199="ja",$S199*0,IF($R199="neen","0,00 m²",IF($R199="/","à encoder","/")))</f>
        <v>0,00 m²</v>
      </c>
      <c r="V199" s="1201"/>
      <c r="W199" s="1201"/>
      <c r="X199" s="1201"/>
      <c r="Y199" s="1201"/>
      <c r="Z199" s="1201"/>
      <c r="AA199" s="554"/>
      <c r="AB199" s="485"/>
      <c r="AC199" s="1103"/>
      <c r="AE199" s="580" t="s">
        <v>700</v>
      </c>
      <c r="AF199" s="593" t="s">
        <v>720</v>
      </c>
      <c r="AG199" s="592" t="s">
        <v>689</v>
      </c>
      <c r="AH199" s="580" t="s">
        <v>719</v>
      </c>
      <c r="AI199" s="591">
        <v>0</v>
      </c>
      <c r="AJ199" s="576"/>
    </row>
    <row r="200" spans="1:38" ht="15.75" customHeight="1" thickBot="1">
      <c r="A200" s="1103"/>
      <c r="B200" s="1103"/>
      <c r="C200" s="1103"/>
      <c r="D200" s="488"/>
      <c r="E200" s="1219"/>
      <c r="F200" s="1219"/>
      <c r="G200" s="1219"/>
      <c r="H200" s="1486"/>
      <c r="I200" s="1489"/>
      <c r="J200" s="1307"/>
      <c r="K200" s="632" t="s">
        <v>718</v>
      </c>
      <c r="L200" s="1248" t="s">
        <v>1458</v>
      </c>
      <c r="M200" s="1249"/>
      <c r="N200" s="1249"/>
      <c r="O200" s="1249"/>
      <c r="P200" s="1250"/>
      <c r="Q200" s="590"/>
      <c r="R200" s="1093" t="s">
        <v>1095</v>
      </c>
      <c r="S200" s="575">
        <v>0</v>
      </c>
      <c r="T200" s="589">
        <f>IF($R200="ja",$S200*0.5,IF($R200="neen","0,00 m²",IF($R200="à encoder","/")))</f>
        <v>0</v>
      </c>
      <c r="U200" s="589">
        <f>IF($R200="ja",$S200*0,IF($R200="neen","0,00 m²",IF($R200="à encoder","/")))</f>
        <v>0</v>
      </c>
      <c r="V200" s="1201"/>
      <c r="W200" s="1201"/>
      <c r="X200" s="1201"/>
      <c r="Y200" s="1201"/>
      <c r="Z200" s="1201"/>
      <c r="AA200" s="554"/>
      <c r="AB200" s="485"/>
      <c r="AC200" s="1103"/>
      <c r="AF200" s="568" t="s">
        <v>692</v>
      </c>
      <c r="AG200" s="567" t="s">
        <v>717</v>
      </c>
      <c r="AI200" s="591">
        <v>0</v>
      </c>
      <c r="AJ200" s="576"/>
    </row>
    <row r="201" spans="1:38" ht="15.75" customHeight="1" thickBot="1">
      <c r="A201" s="1103"/>
      <c r="B201" s="1103"/>
      <c r="C201" s="1103"/>
      <c r="D201" s="488"/>
      <c r="E201" s="1219"/>
      <c r="F201" s="1219"/>
      <c r="G201" s="1219"/>
      <c r="H201" s="1486"/>
      <c r="I201" s="1489"/>
      <c r="J201" s="1307"/>
      <c r="K201" s="632" t="s">
        <v>716</v>
      </c>
      <c r="L201" s="1248" t="s">
        <v>1459</v>
      </c>
      <c r="M201" s="1249"/>
      <c r="N201" s="1249"/>
      <c r="O201" s="1249"/>
      <c r="P201" s="1250"/>
      <c r="Q201" s="590"/>
      <c r="R201" s="1093" t="s">
        <v>1096</v>
      </c>
      <c r="S201" s="575">
        <v>1</v>
      </c>
      <c r="T201" s="589" t="str">
        <f>IF($R201="ja",$S201*0.5,IF($R201="neen","0,00 m²",IF($R201="à encoder","/")))</f>
        <v>0,00 m²</v>
      </c>
      <c r="U201" s="589" t="str">
        <f>IF($R201="ja",$S201*0,IF($R201="neen","0,00 m²",IF($R201="à encoder","/")))</f>
        <v>0,00 m²</v>
      </c>
      <c r="V201" s="1201"/>
      <c r="W201" s="1201"/>
      <c r="X201" s="1201"/>
      <c r="Y201" s="1201"/>
      <c r="Z201" s="1201"/>
      <c r="AA201" s="554"/>
      <c r="AB201" s="485"/>
      <c r="AC201" s="1103"/>
      <c r="AF201" s="568" t="s">
        <v>692</v>
      </c>
      <c r="AG201" s="567" t="s">
        <v>715</v>
      </c>
      <c r="AI201" s="591">
        <v>0</v>
      </c>
      <c r="AJ201" s="576"/>
    </row>
    <row r="202" spans="1:38" ht="15.75" customHeight="1" thickBot="1">
      <c r="A202" s="1103"/>
      <c r="B202" s="1103"/>
      <c r="C202" s="1103"/>
      <c r="D202" s="488"/>
      <c r="E202" s="1219"/>
      <c r="F202" s="1219"/>
      <c r="G202" s="1219"/>
      <c r="H202" s="1486"/>
      <c r="I202" s="1489"/>
      <c r="J202" s="1307"/>
      <c r="K202" s="632" t="s">
        <v>714</v>
      </c>
      <c r="L202" s="1248" t="s">
        <v>1460</v>
      </c>
      <c r="M202" s="1249"/>
      <c r="N202" s="1249"/>
      <c r="O202" s="1249"/>
      <c r="P202" s="1250"/>
      <c r="Q202" s="590"/>
      <c r="R202" s="1093" t="s">
        <v>1095</v>
      </c>
      <c r="S202" s="575">
        <v>0</v>
      </c>
      <c r="T202" s="589">
        <f>IF($R202="ja",$S202*0.25,IF($R202="neen","0,00 m²",IF($R202="à encoder","/")))</f>
        <v>0</v>
      </c>
      <c r="U202" s="589">
        <f>IF($R202="ja",$S202*0.5,IF($R202="neen","0,00 m²",IF($R202="à encoder","/")))</f>
        <v>0</v>
      </c>
      <c r="V202" s="1201"/>
      <c r="W202" s="1201"/>
      <c r="X202" s="1201"/>
      <c r="Y202" s="1201"/>
      <c r="Z202" s="1201"/>
      <c r="AA202" s="554"/>
      <c r="AB202" s="485"/>
      <c r="AC202" s="1103"/>
      <c r="AF202" s="577" t="s">
        <v>687</v>
      </c>
      <c r="AG202" s="576" t="s">
        <v>686</v>
      </c>
      <c r="AI202" s="567" t="s">
        <v>1150</v>
      </c>
      <c r="AJ202" s="576"/>
    </row>
    <row r="203" spans="1:38" ht="15.75" customHeight="1" thickBot="1">
      <c r="A203" s="1103"/>
      <c r="B203" s="1103"/>
      <c r="C203" s="1103"/>
      <c r="D203" s="488"/>
      <c r="E203" s="1219"/>
      <c r="F203" s="1219"/>
      <c r="G203" s="1219"/>
      <c r="H203" s="1486"/>
      <c r="I203" s="1489"/>
      <c r="J203" s="1307"/>
      <c r="K203" s="632" t="s">
        <v>713</v>
      </c>
      <c r="L203" s="1248" t="s">
        <v>1461</v>
      </c>
      <c r="M203" s="1249"/>
      <c r="N203" s="1249"/>
      <c r="O203" s="1249"/>
      <c r="P203" s="1250"/>
      <c r="Q203" s="590"/>
      <c r="R203" s="1093" t="s">
        <v>1095</v>
      </c>
      <c r="S203" s="575">
        <v>0</v>
      </c>
      <c r="T203" s="589">
        <f>IF($R203="ja",$S203*0.25,IF($R203="neen","0,00 m²",IF($R203="à encoder","/")))</f>
        <v>0</v>
      </c>
      <c r="U203" s="589">
        <f>IF($R203="ja",$S203*0.5,IF($R203="neen","0,00 m²",IF($R203="à encoder","/")))</f>
        <v>0</v>
      </c>
      <c r="V203" s="1201"/>
      <c r="W203" s="1201"/>
      <c r="X203" s="1201"/>
      <c r="Y203" s="1201"/>
      <c r="Z203" s="1201"/>
      <c r="AA203" s="554"/>
      <c r="AB203" s="485"/>
      <c r="AC203" s="1103"/>
      <c r="AF203" s="577" t="s">
        <v>687</v>
      </c>
      <c r="AG203" s="576" t="s">
        <v>686</v>
      </c>
      <c r="AI203" s="567" t="s">
        <v>1150</v>
      </c>
      <c r="AJ203" s="576"/>
    </row>
    <row r="204" spans="1:38" ht="15.75" customHeight="1" thickBot="1">
      <c r="A204" s="1103"/>
      <c r="B204" s="1103"/>
      <c r="C204" s="1103"/>
      <c r="D204" s="488"/>
      <c r="E204" s="1219"/>
      <c r="F204" s="1219"/>
      <c r="G204" s="1219"/>
      <c r="H204" s="1486"/>
      <c r="I204" s="1489"/>
      <c r="J204" s="1307"/>
      <c r="K204" s="632" t="s">
        <v>712</v>
      </c>
      <c r="L204" s="1227" t="s">
        <v>1462</v>
      </c>
      <c r="M204" s="1228"/>
      <c r="N204" s="1228"/>
      <c r="O204" s="1228"/>
      <c r="P204" s="1229"/>
      <c r="Q204" s="590"/>
      <c r="R204" s="1093" t="s">
        <v>1095</v>
      </c>
      <c r="S204" s="575">
        <v>0</v>
      </c>
      <c r="T204" s="589">
        <f>IF($R204="ja",$S204*0.25,IF($R204="neen","0,00 m²",IF($R204="à encoder","/")))</f>
        <v>0</v>
      </c>
      <c r="U204" s="589">
        <f>IF($R204="ja",$S204*0.5,IF($R204="neen","0,00 m²",IF($R204="à encoder","/")))</f>
        <v>0</v>
      </c>
      <c r="V204" s="523" t="s">
        <v>665</v>
      </c>
      <c r="W204" s="523" t="s">
        <v>664</v>
      </c>
      <c r="X204" s="555"/>
      <c r="Y204" s="555"/>
      <c r="Z204" s="578"/>
      <c r="AA204" s="554"/>
      <c r="AB204" s="485"/>
      <c r="AC204" s="1103"/>
      <c r="AF204" s="577" t="s">
        <v>687</v>
      </c>
      <c r="AG204" s="576" t="s">
        <v>686</v>
      </c>
      <c r="AI204" s="567" t="s">
        <v>1150</v>
      </c>
      <c r="AJ204" s="576"/>
    </row>
    <row r="205" spans="1:38" ht="15.75" customHeight="1" thickBot="1">
      <c r="A205" s="1103"/>
      <c r="B205" s="1103"/>
      <c r="C205" s="1103"/>
      <c r="D205" s="488"/>
      <c r="E205" s="1219"/>
      <c r="F205" s="1219"/>
      <c r="G205" s="1219"/>
      <c r="H205" s="1486"/>
      <c r="I205" s="1489"/>
      <c r="J205" s="1307"/>
      <c r="K205" s="632" t="s">
        <v>711</v>
      </c>
      <c r="L205" s="1248" t="s">
        <v>1463</v>
      </c>
      <c r="M205" s="1249"/>
      <c r="N205" s="1249"/>
      <c r="O205" s="1249"/>
      <c r="P205" s="1250"/>
      <c r="Q205" s="590"/>
      <c r="R205" s="1093" t="s">
        <v>1095</v>
      </c>
      <c r="S205" s="575">
        <v>0</v>
      </c>
      <c r="T205" s="589">
        <f>IF($R205="ja",$S205*0.5,IF($R205="neen","0,00 m²",IF($R205="à encoder","/")))</f>
        <v>0</v>
      </c>
      <c r="U205" s="589">
        <f>IF($R205="ja",$S205*1,IF($R205="neen","0,00 m²",IF($R205="à encoder","/")))</f>
        <v>0</v>
      </c>
      <c r="V205" s="1202">
        <f>IF(S207="/","/",1-S207/S206)</f>
        <v>1</v>
      </c>
      <c r="W205" s="1202"/>
      <c r="X205" s="555"/>
      <c r="Y205" s="555"/>
      <c r="Z205" s="555"/>
      <c r="AA205" s="530" t="s">
        <v>391</v>
      </c>
      <c r="AB205" s="485"/>
      <c r="AC205" s="1103"/>
      <c r="AF205" s="568" t="s">
        <v>684</v>
      </c>
      <c r="AG205" s="567" t="s">
        <v>710</v>
      </c>
      <c r="AH205" s="580"/>
      <c r="AI205" s="538" t="s">
        <v>1149</v>
      </c>
      <c r="AJ205" s="576"/>
      <c r="AK205" s="580"/>
    </row>
    <row r="206" spans="1:38" ht="15.75" customHeight="1" thickBot="1">
      <c r="A206" s="1103"/>
      <c r="B206" s="1103"/>
      <c r="C206" s="1103"/>
      <c r="D206" s="488"/>
      <c r="E206" s="1220"/>
      <c r="F206" s="1220"/>
      <c r="G206" s="1220"/>
      <c r="H206" s="1487"/>
      <c r="I206" s="1490"/>
      <c r="J206" s="1308"/>
      <c r="K206" s="631" t="s">
        <v>709</v>
      </c>
      <c r="L206" s="1233" t="s">
        <v>1464</v>
      </c>
      <c r="M206" s="1234"/>
      <c r="N206" s="1234"/>
      <c r="O206" s="1234"/>
      <c r="P206" s="1235"/>
      <c r="Q206" s="485"/>
      <c r="R206" s="572"/>
      <c r="S206" s="588">
        <f>M152</f>
        <v>350</v>
      </c>
      <c r="T206" s="570"/>
      <c r="U206" s="555"/>
      <c r="V206" s="587">
        <f>IF(V205="/","/",IF(ISERROR(V205)=TRUE,"/",IF(V205&gt;100%,"FAUX",(SUM(T198:T205)/S206))))</f>
        <v>1</v>
      </c>
      <c r="W206" s="587">
        <f>IF(V205="/","/",IF(ISERROR(V205)=TRUE,"/",IF(V205&gt;100%,"FAUX",(SUM(U198:U205)/S206))))</f>
        <v>0.5</v>
      </c>
      <c r="X206" s="586"/>
      <c r="Y206" s="586"/>
      <c r="Z206" s="586"/>
      <c r="AA206" s="522" t="str">
        <f>IF(OR(V206="/",W206="/"),"/",IF(V205&gt;100%,"/",IF(AND(($V206&gt;=75%),(W206&gt;=50%)),"4",IF(AND(($V206&gt;=50%),(W206&gt;=50%)),"3",IF(AND(($V206&gt;=50%),(W206&gt;=25%)),"2",IF(AND(($V206&gt;=25%),(W206&gt;=25%)),"1",0))))))</f>
        <v>4</v>
      </c>
      <c r="AB206" s="485"/>
      <c r="AC206" s="1103"/>
      <c r="AF206" s="568"/>
      <c r="AG206" s="567"/>
      <c r="AH206" s="580"/>
      <c r="AI206" s="538"/>
      <c r="AJ206" s="576"/>
      <c r="AK206" s="580"/>
    </row>
    <row r="207" spans="1:38" ht="15.75" thickBot="1">
      <c r="A207" s="1103"/>
      <c r="B207" s="1103"/>
      <c r="C207" s="1103"/>
      <c r="D207" s="488"/>
      <c r="E207" s="1251" t="s">
        <v>1121</v>
      </c>
      <c r="F207" s="1251" t="s">
        <v>1122</v>
      </c>
      <c r="G207" s="1251" t="s">
        <v>674</v>
      </c>
      <c r="H207" s="1251" t="s">
        <v>1500</v>
      </c>
      <c r="I207" s="1109" t="s">
        <v>134</v>
      </c>
      <c r="J207" s="1404" t="s">
        <v>1393</v>
      </c>
      <c r="K207" s="1405"/>
      <c r="L207" s="1405"/>
      <c r="M207" s="1405"/>
      <c r="N207" s="1405"/>
      <c r="O207" s="1405"/>
      <c r="P207" s="1406"/>
      <c r="Q207" s="485"/>
      <c r="R207" s="566" t="s">
        <v>708</v>
      </c>
      <c r="S207" s="585">
        <f>IF(OR(R198="à encoder",R199="à encoder",R200="à encoder",R201="à encoder",R202="à encoder",R203="à encoder",R204="à encoder",R205="à encoder"),"/",S206-SUMIF(R198:R205,"ja",S198:S205))</f>
        <v>0</v>
      </c>
      <c r="T207" s="564"/>
      <c r="U207" s="584"/>
      <c r="V207" s="519" t="s">
        <v>707</v>
      </c>
      <c r="W207" s="519" t="s">
        <v>706</v>
      </c>
      <c r="X207" s="519"/>
      <c r="Y207" s="519"/>
      <c r="Z207" s="519"/>
      <c r="AA207" s="583"/>
      <c r="AB207" s="485"/>
      <c r="AC207" s="1103"/>
    </row>
    <row r="208" spans="1:38" ht="15.75" customHeight="1" thickBot="1">
      <c r="A208" s="1103"/>
      <c r="B208" s="1103"/>
      <c r="C208" s="1103"/>
      <c r="D208" s="488"/>
      <c r="E208" s="1252"/>
      <c r="F208" s="1252"/>
      <c r="G208" s="1252"/>
      <c r="H208" s="1252"/>
      <c r="I208" s="1110" t="s">
        <v>705</v>
      </c>
      <c r="J208" s="1491" t="s">
        <v>1465</v>
      </c>
      <c r="K208" s="1492"/>
      <c r="L208" s="1492"/>
      <c r="M208" s="1492"/>
      <c r="N208" s="1492"/>
      <c r="O208" s="1492"/>
      <c r="P208" s="1493"/>
      <c r="Q208" s="497"/>
      <c r="R208" s="491"/>
      <c r="T208" s="474"/>
      <c r="U208" s="474"/>
      <c r="AB208" s="485"/>
      <c r="AC208" s="1103"/>
    </row>
    <row r="209" spans="1:34" ht="15" customHeight="1" thickBot="1">
      <c r="A209" s="1103"/>
      <c r="B209" s="1103"/>
      <c r="C209" s="1103"/>
      <c r="D209" s="488"/>
      <c r="E209" s="1218" t="s">
        <v>672</v>
      </c>
      <c r="F209" s="1218" t="s">
        <v>672</v>
      </c>
      <c r="G209" s="1218" t="s">
        <v>672</v>
      </c>
      <c r="H209" s="1218" t="s">
        <v>672</v>
      </c>
      <c r="I209" s="1236" t="s">
        <v>704</v>
      </c>
      <c r="J209" s="637" t="s">
        <v>1127</v>
      </c>
      <c r="K209" s="1158" t="s">
        <v>1394</v>
      </c>
      <c r="L209" s="1159"/>
      <c r="M209" s="636" t="s">
        <v>641</v>
      </c>
      <c r="N209" s="636" t="s">
        <v>639</v>
      </c>
      <c r="O209" s="636" t="s">
        <v>638</v>
      </c>
      <c r="P209" s="635" t="s">
        <v>636</v>
      </c>
      <c r="Q209" s="497"/>
      <c r="R209" s="496"/>
      <c r="S209" s="497"/>
      <c r="T209" s="496"/>
      <c r="U209" s="496"/>
      <c r="V209" s="497"/>
      <c r="W209" s="497"/>
      <c r="X209" s="497"/>
      <c r="Y209" s="497"/>
      <c r="Z209" s="497"/>
      <c r="AA209" s="497"/>
      <c r="AB209" s="485"/>
      <c r="AC209" s="1103"/>
    </row>
    <row r="210" spans="1:34" ht="66.75" thickBot="1">
      <c r="A210" s="1103"/>
      <c r="B210" s="1106"/>
      <c r="C210" s="1103"/>
      <c r="D210" s="488"/>
      <c r="E210" s="1219"/>
      <c r="F210" s="1219"/>
      <c r="G210" s="1219"/>
      <c r="H210" s="1219"/>
      <c r="I210" s="1237"/>
      <c r="J210" s="634" t="s">
        <v>1135</v>
      </c>
      <c r="K210" s="1160" t="s">
        <v>1395</v>
      </c>
      <c r="L210" s="1161"/>
      <c r="M210" s="582" t="s">
        <v>1396</v>
      </c>
      <c r="N210" s="582" t="s">
        <v>1397</v>
      </c>
      <c r="O210" s="582" t="s">
        <v>1398</v>
      </c>
      <c r="P210" s="582" t="s">
        <v>1399</v>
      </c>
      <c r="Q210" s="497"/>
      <c r="R210" s="515"/>
      <c r="S210" s="497"/>
      <c r="T210" s="496"/>
      <c r="U210" s="496"/>
      <c r="V210" s="497"/>
      <c r="W210" s="497"/>
      <c r="X210" s="497"/>
      <c r="Y210" s="497"/>
      <c r="Z210" s="497"/>
      <c r="AA210" s="497"/>
      <c r="AB210" s="485"/>
      <c r="AC210" s="1103"/>
    </row>
    <row r="211" spans="1:34" ht="15.75" customHeight="1" thickBot="1">
      <c r="A211" s="1103"/>
      <c r="B211" s="1103"/>
      <c r="C211" s="1103"/>
      <c r="D211" s="488"/>
      <c r="E211" s="1219"/>
      <c r="F211" s="1219"/>
      <c r="G211" s="1219"/>
      <c r="H211" s="1219"/>
      <c r="I211" s="1237"/>
      <c r="J211" s="1306" t="s">
        <v>1132</v>
      </c>
      <c r="K211" s="632" t="s">
        <v>703</v>
      </c>
      <c r="L211" s="1227" t="s">
        <v>1400</v>
      </c>
      <c r="M211" s="1228"/>
      <c r="N211" s="1228"/>
      <c r="O211" s="1228"/>
      <c r="P211" s="1229"/>
      <c r="Q211" s="485"/>
      <c r="R211" s="1094" t="s">
        <v>1145</v>
      </c>
      <c r="S211" s="559"/>
      <c r="T211" s="542">
        <f>IF($R211="ja",1,IF($R211="neen",0,IF($R211="ja&gt;75%",0.75,IF($R211="ja&gt;50%",0.5,IF($R211="ja&gt;25%",0.25,IF($R211="à encoder","/"))))))</f>
        <v>0.25</v>
      </c>
      <c r="U211" s="581"/>
      <c r="V211" s="541"/>
      <c r="W211" s="541"/>
      <c r="X211" s="541"/>
      <c r="Y211" s="541"/>
      <c r="Z211" s="541"/>
      <c r="AA211" s="557"/>
      <c r="AB211" s="485"/>
      <c r="AC211" s="1103"/>
      <c r="AE211" s="537" t="s">
        <v>702</v>
      </c>
      <c r="AF211" s="538"/>
      <c r="AH211" s="537"/>
    </row>
    <row r="212" spans="1:34" ht="15.75" customHeight="1" thickBot="1">
      <c r="A212" s="1103"/>
      <c r="B212" s="1103"/>
      <c r="C212" s="1103"/>
      <c r="D212" s="488"/>
      <c r="E212" s="1219"/>
      <c r="F212" s="1219"/>
      <c r="G212" s="1219"/>
      <c r="H212" s="1219"/>
      <c r="I212" s="1237"/>
      <c r="J212" s="1307"/>
      <c r="K212" s="632" t="s">
        <v>701</v>
      </c>
      <c r="L212" s="1230" t="s">
        <v>1401</v>
      </c>
      <c r="M212" s="1231"/>
      <c r="N212" s="1231"/>
      <c r="O212" s="1231"/>
      <c r="P212" s="1232"/>
      <c r="Q212" s="485"/>
      <c r="R212" s="1093" t="s">
        <v>1096</v>
      </c>
      <c r="S212" s="575">
        <v>200</v>
      </c>
      <c r="T212" s="574">
        <f t="shared" ref="T212:T218" si="6">IF($R212="ja",$S212*1,IF($R212="neen",0,IF($R212="à encoder","/")))</f>
        <v>0</v>
      </c>
      <c r="U212" s="574" t="str">
        <f>IF($R212="ja",$S212*1,IF($R212="neen","0,00 m",IF($R212="à encoder","/")))</f>
        <v>0,00 m</v>
      </c>
      <c r="V212" s="1201" t="str">
        <f>IF(S220&lt;0,"Délimitation PERCEEL plus grande que le périmètre encodé dans les caractéristiques physiques du site","")</f>
        <v/>
      </c>
      <c r="W212" s="1201"/>
      <c r="X212" s="1201"/>
      <c r="Y212" s="1201"/>
      <c r="Z212" s="1201"/>
      <c r="AA212" s="1480"/>
      <c r="AB212" s="485"/>
      <c r="AC212" s="1103"/>
      <c r="AE212" s="580" t="s">
        <v>700</v>
      </c>
      <c r="AF212" s="579" t="s">
        <v>697</v>
      </c>
      <c r="AG212" s="538" t="s">
        <v>699</v>
      </c>
    </row>
    <row r="213" spans="1:34" ht="15.75" customHeight="1" thickBot="1">
      <c r="A213" s="1103"/>
      <c r="B213" s="1103"/>
      <c r="C213" s="1103"/>
      <c r="D213" s="488"/>
      <c r="E213" s="1219"/>
      <c r="F213" s="1219"/>
      <c r="G213" s="1219"/>
      <c r="H213" s="1219"/>
      <c r="I213" s="1237"/>
      <c r="J213" s="1307"/>
      <c r="K213" s="632" t="s">
        <v>698</v>
      </c>
      <c r="L213" s="1230" t="s">
        <v>1402</v>
      </c>
      <c r="M213" s="1231"/>
      <c r="N213" s="1231"/>
      <c r="O213" s="1231"/>
      <c r="P213" s="1232"/>
      <c r="Q213" s="485"/>
      <c r="R213" s="1093" t="s">
        <v>1096</v>
      </c>
      <c r="S213" s="575">
        <v>200</v>
      </c>
      <c r="T213" s="574">
        <f t="shared" si="6"/>
        <v>0</v>
      </c>
      <c r="U213" s="574" t="str">
        <f>IF($R213="ja",$S213*1,IF($R213="neen","0,00 m",IF($R213="à encoder","/")))</f>
        <v>0,00 m</v>
      </c>
      <c r="V213" s="1201"/>
      <c r="W213" s="1201"/>
      <c r="X213" s="1201"/>
      <c r="Y213" s="1201"/>
      <c r="Z213" s="1201"/>
      <c r="AA213" s="1480"/>
      <c r="AB213" s="485"/>
      <c r="AC213" s="1103"/>
      <c r="AF213" s="579" t="s">
        <v>697</v>
      </c>
      <c r="AG213" s="538" t="s">
        <v>696</v>
      </c>
    </row>
    <row r="214" spans="1:34" ht="15.75" customHeight="1" thickBot="1">
      <c r="A214" s="1103"/>
      <c r="B214" s="1103"/>
      <c r="C214" s="1103"/>
      <c r="D214" s="488"/>
      <c r="E214" s="1219"/>
      <c r="F214" s="1219"/>
      <c r="G214" s="1219"/>
      <c r="H214" s="1219"/>
      <c r="I214" s="1237"/>
      <c r="J214" s="1307"/>
      <c r="K214" s="632" t="s">
        <v>695</v>
      </c>
      <c r="L214" s="1230" t="s">
        <v>1403</v>
      </c>
      <c r="M214" s="1231"/>
      <c r="N214" s="1231"/>
      <c r="O214" s="1231"/>
      <c r="P214" s="1232"/>
      <c r="Q214" s="485"/>
      <c r="R214" s="1093" t="s">
        <v>1095</v>
      </c>
      <c r="S214" s="575">
        <v>200</v>
      </c>
      <c r="T214" s="574">
        <f t="shared" si="6"/>
        <v>200</v>
      </c>
      <c r="U214" s="574">
        <f>IF($R214="ja",$S214*0.5,IF($R214="neen","0,00 m",IF($R214="à encoder","/")))</f>
        <v>100</v>
      </c>
      <c r="V214" s="1201"/>
      <c r="W214" s="1201"/>
      <c r="X214" s="1201"/>
      <c r="Y214" s="1201"/>
      <c r="Z214" s="1201"/>
      <c r="AA214" s="1480"/>
      <c r="AB214" s="485"/>
      <c r="AC214" s="1103"/>
      <c r="AF214" s="568" t="s">
        <v>692</v>
      </c>
      <c r="AG214" s="567" t="s">
        <v>694</v>
      </c>
    </row>
    <row r="215" spans="1:34" ht="15.75" customHeight="1" thickBot="1">
      <c r="A215" s="1103"/>
      <c r="B215" s="1103"/>
      <c r="C215" s="1103"/>
      <c r="D215" s="488"/>
      <c r="E215" s="1219"/>
      <c r="F215" s="1219"/>
      <c r="G215" s="1219"/>
      <c r="H215" s="1219"/>
      <c r="I215" s="1237"/>
      <c r="J215" s="1307"/>
      <c r="K215" s="632" t="s">
        <v>693</v>
      </c>
      <c r="L215" s="1230" t="s">
        <v>1404</v>
      </c>
      <c r="M215" s="1231"/>
      <c r="N215" s="1231"/>
      <c r="O215" s="1231"/>
      <c r="P215" s="1232"/>
      <c r="Q215" s="485"/>
      <c r="R215" s="1093" t="s">
        <v>1096</v>
      </c>
      <c r="S215" s="575">
        <v>1</v>
      </c>
      <c r="T215" s="574">
        <f t="shared" si="6"/>
        <v>0</v>
      </c>
      <c r="U215" s="574" t="str">
        <f>IF($R215="ja",$S215*0.5,IF($R215="neen","0,00 m",IF($R215="à encoder","/")))</f>
        <v>0,00 m</v>
      </c>
      <c r="V215" s="1201"/>
      <c r="W215" s="1201"/>
      <c r="X215" s="1201"/>
      <c r="Y215" s="1201"/>
      <c r="Z215" s="1201"/>
      <c r="AA215" s="1480"/>
      <c r="AB215" s="485"/>
      <c r="AC215" s="1103"/>
      <c r="AF215" s="568" t="s">
        <v>692</v>
      </c>
      <c r="AG215" s="567" t="s">
        <v>691</v>
      </c>
    </row>
    <row r="216" spans="1:34" ht="15.75" customHeight="1" thickBot="1">
      <c r="A216" s="1103"/>
      <c r="B216" s="1103"/>
      <c r="C216" s="1103"/>
      <c r="D216" s="488"/>
      <c r="E216" s="1219"/>
      <c r="F216" s="1219"/>
      <c r="G216" s="1219"/>
      <c r="H216" s="1219"/>
      <c r="I216" s="1237"/>
      <c r="J216" s="1307"/>
      <c r="K216" s="632" t="s">
        <v>690</v>
      </c>
      <c r="L216" s="1230" t="s">
        <v>1405</v>
      </c>
      <c r="M216" s="1231"/>
      <c r="N216" s="1231"/>
      <c r="O216" s="1231"/>
      <c r="P216" s="1232"/>
      <c r="Q216" s="485"/>
      <c r="R216" s="1093" t="s">
        <v>1096</v>
      </c>
      <c r="S216" s="575">
        <v>200</v>
      </c>
      <c r="T216" s="574">
        <f t="shared" si="6"/>
        <v>0</v>
      </c>
      <c r="U216" s="574" t="str">
        <f>IF($R216="ja",$S216*0.5,IF($R216="neen","0,00 m",IF($R216="à encoder","/")))</f>
        <v>0,00 m</v>
      </c>
      <c r="V216" s="1201"/>
      <c r="W216" s="1201"/>
      <c r="X216" s="1201"/>
      <c r="Y216" s="1201"/>
      <c r="Z216" s="1201"/>
      <c r="AA216" s="1480"/>
      <c r="AB216" s="485"/>
      <c r="AC216" s="1103"/>
      <c r="AF216" s="568" t="s">
        <v>684</v>
      </c>
      <c r="AG216" s="567" t="s">
        <v>689</v>
      </c>
    </row>
    <row r="217" spans="1:34" ht="15.75" customHeight="1" thickBot="1">
      <c r="A217" s="1103"/>
      <c r="B217" s="1103"/>
      <c r="C217" s="1103"/>
      <c r="D217" s="488"/>
      <c r="E217" s="1219"/>
      <c r="F217" s="1219"/>
      <c r="G217" s="1219"/>
      <c r="H217" s="1219"/>
      <c r="I217" s="1237"/>
      <c r="J217" s="1307"/>
      <c r="K217" s="632" t="s">
        <v>688</v>
      </c>
      <c r="L217" s="1230" t="s">
        <v>1406</v>
      </c>
      <c r="M217" s="1231"/>
      <c r="N217" s="1231"/>
      <c r="O217" s="1231"/>
      <c r="P217" s="1232"/>
      <c r="Q217" s="485"/>
      <c r="R217" s="1093" t="s">
        <v>1096</v>
      </c>
      <c r="S217" s="575">
        <v>200</v>
      </c>
      <c r="T217" s="574">
        <f t="shared" si="6"/>
        <v>0</v>
      </c>
      <c r="U217" s="574" t="str">
        <f>IF($R217="ja",$S217*0.25,IF($R217="neen","0,00 m",IF($R217="à encoder","/")))</f>
        <v>0,00 m</v>
      </c>
      <c r="V217" s="523" t="s">
        <v>665</v>
      </c>
      <c r="W217" s="523" t="s">
        <v>664</v>
      </c>
      <c r="X217" s="555"/>
      <c r="Y217" s="555"/>
      <c r="Z217" s="578"/>
      <c r="AA217" s="554"/>
      <c r="AB217" s="485"/>
      <c r="AC217" s="1103"/>
      <c r="AF217" s="577" t="s">
        <v>687</v>
      </c>
      <c r="AG217" s="576" t="s">
        <v>686</v>
      </c>
    </row>
    <row r="218" spans="1:34" ht="15.75" customHeight="1" thickBot="1">
      <c r="A218" s="1103"/>
      <c r="B218" s="1103"/>
      <c r="C218" s="1103"/>
      <c r="D218" s="488"/>
      <c r="E218" s="1219"/>
      <c r="F218" s="1219"/>
      <c r="G218" s="1219"/>
      <c r="H218" s="1219"/>
      <c r="I218" s="1237"/>
      <c r="J218" s="1307"/>
      <c r="K218" s="632" t="s">
        <v>685</v>
      </c>
      <c r="L218" s="1230" t="s">
        <v>1407</v>
      </c>
      <c r="M218" s="1231"/>
      <c r="N218" s="1231"/>
      <c r="O218" s="1231"/>
      <c r="P218" s="1232"/>
      <c r="Q218" s="485"/>
      <c r="R218" s="1093" t="s">
        <v>1096</v>
      </c>
      <c r="S218" s="575">
        <v>1</v>
      </c>
      <c r="T218" s="574">
        <f t="shared" si="6"/>
        <v>0</v>
      </c>
      <c r="U218" s="574" t="str">
        <f>IF($R218="ja",$S218*0.5,IF($R218="neen","0,00 m",IF($R218="à encoder","/")))</f>
        <v>0,00 m</v>
      </c>
      <c r="V218" s="573"/>
      <c r="W218" s="573">
        <f>IF(S220="/","/",1-S220/S219)</f>
        <v>1</v>
      </c>
      <c r="X218" s="523"/>
      <c r="Y218" s="523"/>
      <c r="Z218" s="523"/>
      <c r="AA218" s="530" t="s">
        <v>391</v>
      </c>
      <c r="AB218" s="485"/>
      <c r="AC218" s="1103"/>
      <c r="AF218" s="568" t="s">
        <v>684</v>
      </c>
      <c r="AG218" s="567" t="s">
        <v>683</v>
      </c>
    </row>
    <row r="219" spans="1:34" ht="15.75" customHeight="1" thickBot="1">
      <c r="A219" s="1103"/>
      <c r="B219" s="1103"/>
      <c r="C219" s="1103"/>
      <c r="D219" s="488"/>
      <c r="E219" s="1220"/>
      <c r="F219" s="1220"/>
      <c r="G219" s="1220"/>
      <c r="H219" s="1220"/>
      <c r="I219" s="1272"/>
      <c r="J219" s="1308"/>
      <c r="K219" s="632" t="s">
        <v>682</v>
      </c>
      <c r="L219" s="1230" t="s">
        <v>1408</v>
      </c>
      <c r="M219" s="1231"/>
      <c r="N219" s="1231"/>
      <c r="O219" s="1231"/>
      <c r="P219" s="1232"/>
      <c r="Q219" s="485"/>
      <c r="R219" s="572"/>
      <c r="S219" s="640">
        <f>L164</f>
        <v>200</v>
      </c>
      <c r="T219" s="570"/>
      <c r="U219" s="523"/>
      <c r="V219" s="526">
        <f>IF(R211="à encoder","/",T211)</f>
        <v>0.25</v>
      </c>
      <c r="W219" s="639">
        <f>IF(W218="/","/",IF(ISERROR(W218)=TRUE,"/",IF(W218&gt;100%,"FAUX",SUM(U212:U218)/S219)))</f>
        <v>0.5</v>
      </c>
      <c r="X219" s="523"/>
      <c r="Y219" s="523"/>
      <c r="Z219" s="523"/>
      <c r="AA219" s="522" t="str">
        <f>IF(OR(V219="/",W219="/"),"/",IF(W218&gt;100%,"/",IF(AND(($V219&gt;=75%),($W219&gt;=75%)),"4",IF(AND(($V219&gt;=50%),($W219&gt;=50%)),"3",IF(AND(($V219&gt;=25%),($W219&gt;=25%)),"2",IF(AND(($V219&gt;=25%),($W219&lt;=25%)),"1",0))))))</f>
        <v>2</v>
      </c>
      <c r="AB219" s="485"/>
      <c r="AC219" s="1103"/>
      <c r="AF219" s="568"/>
      <c r="AG219" s="567"/>
    </row>
    <row r="220" spans="1:34" ht="15.75" customHeight="1" thickBot="1">
      <c r="A220" s="1103"/>
      <c r="B220" s="1103"/>
      <c r="C220" s="1103"/>
      <c r="D220" s="488"/>
      <c r="E220" s="552" t="s">
        <v>1121</v>
      </c>
      <c r="F220" s="552" t="s">
        <v>1122</v>
      </c>
      <c r="G220" s="552" t="s">
        <v>674</v>
      </c>
      <c r="H220" s="552" t="s">
        <v>1500</v>
      </c>
      <c r="I220" s="1108" t="s">
        <v>681</v>
      </c>
      <c r="J220" s="1215" t="s">
        <v>1409</v>
      </c>
      <c r="K220" s="1216"/>
      <c r="L220" s="1216"/>
      <c r="M220" s="1216"/>
      <c r="N220" s="1216"/>
      <c r="O220" s="1216"/>
      <c r="P220" s="1217"/>
      <c r="Q220" s="485"/>
      <c r="R220" s="566" t="s">
        <v>680</v>
      </c>
      <c r="S220" s="638">
        <f>IF(OR(R212="à encoder",R213="à encoder",R214="à encoder",R215="à encoder",R216="à encoder",R217="à encoder",R218="à encoder"),"/",S219-SUMIF(R212:R218,"ja",S212:S218))</f>
        <v>0</v>
      </c>
      <c r="T220" s="564"/>
      <c r="U220" s="519"/>
      <c r="V220" s="519" t="s">
        <v>1504</v>
      </c>
      <c r="W220" s="519" t="s">
        <v>1505</v>
      </c>
      <c r="X220" s="519"/>
      <c r="Y220" s="519"/>
      <c r="Z220" s="519"/>
      <c r="AA220" s="518"/>
      <c r="AB220" s="485"/>
      <c r="AC220" s="1103"/>
    </row>
    <row r="221" spans="1:34" ht="15" customHeight="1" thickBot="1">
      <c r="A221" s="1103"/>
      <c r="B221" s="1103"/>
      <c r="C221" s="1103"/>
      <c r="D221" s="488"/>
      <c r="E221" s="1218" t="s">
        <v>672</v>
      </c>
      <c r="F221" s="1218" t="s">
        <v>672</v>
      </c>
      <c r="G221" s="1218" t="s">
        <v>672</v>
      </c>
      <c r="H221" s="1218" t="s">
        <v>672</v>
      </c>
      <c r="I221" s="1236" t="s">
        <v>679</v>
      </c>
      <c r="J221" s="637" t="s">
        <v>1127</v>
      </c>
      <c r="K221" s="1158" t="s">
        <v>1410</v>
      </c>
      <c r="L221" s="1159"/>
      <c r="M221" s="636" t="s">
        <v>641</v>
      </c>
      <c r="N221" s="636" t="s">
        <v>639</v>
      </c>
      <c r="O221" s="636" t="s">
        <v>638</v>
      </c>
      <c r="P221" s="635" t="s">
        <v>636</v>
      </c>
      <c r="Q221" s="497"/>
      <c r="R221" s="548"/>
      <c r="AB221" s="485"/>
      <c r="AC221" s="1103"/>
    </row>
    <row r="222" spans="1:34" ht="119.25" customHeight="1" thickBot="1">
      <c r="A222" s="1103"/>
      <c r="B222" s="1106"/>
      <c r="C222" s="1103"/>
      <c r="D222" s="488"/>
      <c r="E222" s="1219"/>
      <c r="F222" s="1219"/>
      <c r="G222" s="1219"/>
      <c r="H222" s="1219"/>
      <c r="I222" s="1237"/>
      <c r="J222" s="634" t="s">
        <v>1135</v>
      </c>
      <c r="K222" s="1273" t="s">
        <v>1415</v>
      </c>
      <c r="L222" s="1274"/>
      <c r="M222" s="563" t="s">
        <v>1411</v>
      </c>
      <c r="N222" s="562" t="s">
        <v>1412</v>
      </c>
      <c r="O222" s="563" t="s">
        <v>1413</v>
      </c>
      <c r="P222" s="562" t="s">
        <v>1414</v>
      </c>
      <c r="Q222" s="488"/>
      <c r="R222" s="496"/>
      <c r="S222" s="497"/>
      <c r="T222" s="496"/>
      <c r="U222" s="496"/>
      <c r="V222" s="497"/>
      <c r="W222" s="497"/>
      <c r="X222" s="497"/>
      <c r="Y222" s="497"/>
      <c r="Z222" s="497"/>
      <c r="AA222" s="497"/>
      <c r="AB222" s="485"/>
      <c r="AC222" s="1103"/>
    </row>
    <row r="223" spans="1:34" ht="15.75" customHeight="1" thickBot="1">
      <c r="A223" s="1103"/>
      <c r="B223" s="1103"/>
      <c r="C223" s="1103"/>
      <c r="D223" s="488"/>
      <c r="E223" s="1219"/>
      <c r="F223" s="1219"/>
      <c r="G223" s="1219"/>
      <c r="H223" s="1219"/>
      <c r="I223" s="1237"/>
      <c r="J223" s="1275" t="s">
        <v>1132</v>
      </c>
      <c r="K223" s="632" t="s">
        <v>678</v>
      </c>
      <c r="L223" s="1227" t="s">
        <v>1416</v>
      </c>
      <c r="M223" s="1228"/>
      <c r="N223" s="1228"/>
      <c r="O223" s="1228"/>
      <c r="P223" s="1229"/>
      <c r="Q223" s="485"/>
      <c r="R223" s="1094" t="s">
        <v>1146</v>
      </c>
      <c r="S223" s="559"/>
      <c r="T223" s="542">
        <f>IF($R223="ja",1,IF($R223="neen",0,IF($R223="NP",1,IF($R223="ja&gt;75%",0.75,IF($R223="ja&gt;50%",0.5,IF($R223="ja&gt;25%",0.25,IF($R223="à encoder","/")))))))</f>
        <v>0.5</v>
      </c>
      <c r="U223" s="558"/>
      <c r="V223" s="541"/>
      <c r="W223" s="541"/>
      <c r="X223" s="541"/>
      <c r="Y223" s="541"/>
      <c r="Z223" s="541"/>
      <c r="AA223" s="557"/>
      <c r="AB223" s="485"/>
      <c r="AC223" s="1103"/>
      <c r="AE223" s="537"/>
      <c r="AF223" s="538"/>
      <c r="AH223" s="537"/>
    </row>
    <row r="224" spans="1:34" ht="15.75" customHeight="1" thickBot="1">
      <c r="A224" s="1103"/>
      <c r="B224" s="1103"/>
      <c r="C224" s="1103"/>
      <c r="D224" s="488"/>
      <c r="E224" s="1219"/>
      <c r="F224" s="1219"/>
      <c r="G224" s="1219"/>
      <c r="H224" s="1219"/>
      <c r="I224" s="1237"/>
      <c r="J224" s="1276"/>
      <c r="K224" s="632" t="s">
        <v>677</v>
      </c>
      <c r="L224" s="1230" t="s">
        <v>1417</v>
      </c>
      <c r="M224" s="1231"/>
      <c r="N224" s="1231"/>
      <c r="O224" s="1231"/>
      <c r="P224" s="1232"/>
      <c r="Q224" s="485"/>
      <c r="R224" s="1093" t="s">
        <v>1096</v>
      </c>
      <c r="S224" s="555"/>
      <c r="T224" s="556"/>
      <c r="U224" s="556"/>
      <c r="V224" s="555"/>
      <c r="W224" s="555"/>
      <c r="X224" s="555"/>
      <c r="Y224" s="555"/>
      <c r="Z224" s="555"/>
      <c r="AA224" s="554"/>
      <c r="AB224" s="485"/>
      <c r="AC224" s="1103"/>
      <c r="AF224" s="535"/>
    </row>
    <row r="225" spans="1:34" ht="15.75" customHeight="1" thickBot="1">
      <c r="A225" s="1103"/>
      <c r="B225" s="1103"/>
      <c r="C225" s="1103"/>
      <c r="D225" s="488"/>
      <c r="E225" s="1219"/>
      <c r="F225" s="1219"/>
      <c r="G225" s="1219"/>
      <c r="H225" s="1219"/>
      <c r="I225" s="1237"/>
      <c r="J225" s="1276"/>
      <c r="K225" s="632" t="s">
        <v>676</v>
      </c>
      <c r="L225" s="1230" t="s">
        <v>1418</v>
      </c>
      <c r="M225" s="1231"/>
      <c r="N225" s="1231"/>
      <c r="O225" s="1231"/>
      <c r="P225" s="1232"/>
      <c r="Q225" s="485"/>
      <c r="R225" s="1093" t="s">
        <v>1095</v>
      </c>
      <c r="S225" s="528"/>
      <c r="T225" s="528"/>
      <c r="U225" s="531" t="s">
        <v>665</v>
      </c>
      <c r="V225" s="523" t="s">
        <v>664</v>
      </c>
      <c r="W225" s="523" t="s">
        <v>663</v>
      </c>
      <c r="X225" s="523" t="s">
        <v>662</v>
      </c>
      <c r="Y225" s="523"/>
      <c r="Z225" s="523"/>
      <c r="AA225" s="530" t="s">
        <v>391</v>
      </c>
      <c r="AB225" s="485"/>
      <c r="AC225" s="1103"/>
    </row>
    <row r="226" spans="1:34" ht="15.75" customHeight="1" thickBot="1">
      <c r="A226" s="1103"/>
      <c r="B226" s="1103"/>
      <c r="C226" s="1103"/>
      <c r="D226" s="488"/>
      <c r="E226" s="1219"/>
      <c r="F226" s="1219"/>
      <c r="G226" s="1219"/>
      <c r="H226" s="1219"/>
      <c r="I226" s="1237"/>
      <c r="J226" s="1276"/>
      <c r="K226" s="632" t="s">
        <v>675</v>
      </c>
      <c r="L226" s="1230" t="s">
        <v>1419</v>
      </c>
      <c r="M226" s="1231"/>
      <c r="N226" s="1231"/>
      <c r="O226" s="1231"/>
      <c r="P226" s="1232"/>
      <c r="Q226" s="485"/>
      <c r="R226" s="1093" t="s">
        <v>1096</v>
      </c>
      <c r="S226" s="528"/>
      <c r="T226" s="527"/>
      <c r="U226" s="526">
        <f>IF(R223="à encoder","/",T223)</f>
        <v>0.5</v>
      </c>
      <c r="V226" s="524" t="str">
        <f>IF(R224="à encoder","/",R224)</f>
        <v>neen</v>
      </c>
      <c r="W226" s="524" t="str">
        <f>IF(R225="à encoder","/",R225)</f>
        <v>ja</v>
      </c>
      <c r="X226" s="524" t="str">
        <f>IF(R226="à encoder","/",R226)</f>
        <v>neen</v>
      </c>
      <c r="Y226" s="523"/>
      <c r="Z226" s="523"/>
      <c r="AA226" s="522" t="str">
        <f>IF(OR(U226="/",V226="/",W226="/",X226="/"),"/",IF(AND((U226&gt;=75%),(V226="ja"),(W226="ja"),(X226="ja")),"4",IF(AND((U226&gt;=50%),(V226="ja"),(W226="ja")),"3",IF(AND((U226&gt;=25%),(V226="ja")),"2",IF((U226&gt;=25%),"1",0)))))</f>
        <v>1</v>
      </c>
      <c r="AB226" s="485"/>
      <c r="AC226" s="1103"/>
    </row>
    <row r="227" spans="1:34" ht="15.75" customHeight="1" thickBot="1">
      <c r="A227" s="1103"/>
      <c r="B227" s="1103"/>
      <c r="C227" s="1103"/>
      <c r="D227" s="488"/>
      <c r="E227" s="552" t="s">
        <v>1121</v>
      </c>
      <c r="F227" s="552" t="s">
        <v>1122</v>
      </c>
      <c r="G227" s="552" t="s">
        <v>674</v>
      </c>
      <c r="H227" s="552" t="s">
        <v>1500</v>
      </c>
      <c r="I227" s="1108" t="s">
        <v>673</v>
      </c>
      <c r="J227" s="1215" t="s">
        <v>1420</v>
      </c>
      <c r="K227" s="1216"/>
      <c r="L227" s="1216"/>
      <c r="M227" s="1216"/>
      <c r="N227" s="1216"/>
      <c r="O227" s="1216"/>
      <c r="P227" s="1217"/>
      <c r="Q227" s="485"/>
      <c r="R227" s="521"/>
      <c r="S227" s="520"/>
      <c r="T227" s="520"/>
      <c r="U227" s="519" t="s">
        <v>1506</v>
      </c>
      <c r="V227" s="519" t="s">
        <v>1507</v>
      </c>
      <c r="W227" s="519" t="s">
        <v>1508</v>
      </c>
      <c r="X227" s="519" t="s">
        <v>1509</v>
      </c>
      <c r="Y227" s="520"/>
      <c r="Z227" s="519"/>
      <c r="AA227" s="518"/>
      <c r="AB227" s="485"/>
      <c r="AC227" s="1103"/>
    </row>
    <row r="228" spans="1:34" ht="15" customHeight="1" thickBot="1">
      <c r="A228" s="1103"/>
      <c r="B228" s="1103"/>
      <c r="C228" s="1103"/>
      <c r="D228" s="488"/>
      <c r="E228" s="1218" t="s">
        <v>672</v>
      </c>
      <c r="F228" s="1218" t="s">
        <v>672</v>
      </c>
      <c r="G228" s="1218" t="s">
        <v>672</v>
      </c>
      <c r="H228" s="1218" t="s">
        <v>672</v>
      </c>
      <c r="I228" s="1236" t="s">
        <v>671</v>
      </c>
      <c r="J228" s="637" t="s">
        <v>1127</v>
      </c>
      <c r="K228" s="1158" t="s">
        <v>1421</v>
      </c>
      <c r="L228" s="1159"/>
      <c r="M228" s="636" t="s">
        <v>641</v>
      </c>
      <c r="N228" s="636" t="s">
        <v>639</v>
      </c>
      <c r="O228" s="636" t="s">
        <v>638</v>
      </c>
      <c r="P228" s="635" t="s">
        <v>636</v>
      </c>
      <c r="Q228" s="497"/>
      <c r="R228" s="548"/>
      <c r="AB228" s="485"/>
      <c r="AC228" s="1103"/>
    </row>
    <row r="229" spans="1:34" ht="115.5" thickBot="1">
      <c r="A229" s="1103"/>
      <c r="B229" s="1106"/>
      <c r="C229" s="1103"/>
      <c r="D229" s="488"/>
      <c r="E229" s="1219"/>
      <c r="F229" s="1219"/>
      <c r="G229" s="1219"/>
      <c r="H229" s="1219"/>
      <c r="I229" s="1237"/>
      <c r="J229" s="634" t="s">
        <v>1135</v>
      </c>
      <c r="K229" s="1160" t="s">
        <v>1422</v>
      </c>
      <c r="L229" s="1161"/>
      <c r="M229" s="546" t="s">
        <v>1423</v>
      </c>
      <c r="N229" s="546" t="s">
        <v>1424</v>
      </c>
      <c r="O229" s="546" t="s">
        <v>1425</v>
      </c>
      <c r="P229" s="546" t="s">
        <v>1426</v>
      </c>
      <c r="Q229" s="497"/>
      <c r="R229" s="515"/>
      <c r="S229" s="497"/>
      <c r="T229" s="496"/>
      <c r="U229" s="496"/>
      <c r="V229" s="497"/>
      <c r="W229" s="497"/>
      <c r="X229" s="497"/>
      <c r="Y229" s="497"/>
      <c r="Z229" s="497"/>
      <c r="AA229" s="497"/>
      <c r="AB229" s="485"/>
      <c r="AC229" s="1103"/>
    </row>
    <row r="230" spans="1:34" ht="15.75" customHeight="1" thickBot="1">
      <c r="A230" s="1103"/>
      <c r="B230" s="1103"/>
      <c r="C230" s="1103"/>
      <c r="D230" s="488"/>
      <c r="E230" s="1219"/>
      <c r="F230" s="1219"/>
      <c r="G230" s="1219"/>
      <c r="H230" s="1219"/>
      <c r="I230" s="1237"/>
      <c r="J230" s="1275" t="s">
        <v>1132</v>
      </c>
      <c r="K230" s="633" t="s">
        <v>670</v>
      </c>
      <c r="L230" s="1227" t="s">
        <v>1427</v>
      </c>
      <c r="M230" s="1228"/>
      <c r="N230" s="1228"/>
      <c r="O230" s="1228"/>
      <c r="P230" s="1229"/>
      <c r="Q230" s="497"/>
      <c r="R230" s="1094" t="s">
        <v>1145</v>
      </c>
      <c r="S230" s="543"/>
      <c r="T230" s="542">
        <f>IF($R230="ja",1,IF($R230="neen",0,IF($R230="ja&gt;75%",0.75,IF($R230="ja&gt;50%",0.5,IF($R230="ja&gt;25%",0.25,IF($R230="à encoder","/"))))))</f>
        <v>0.25</v>
      </c>
      <c r="U230" s="541"/>
      <c r="V230" s="541"/>
      <c r="W230" s="541"/>
      <c r="X230" s="541"/>
      <c r="Y230" s="541"/>
      <c r="Z230" s="540"/>
      <c r="AA230" s="539"/>
      <c r="AB230" s="485"/>
      <c r="AC230" s="1103"/>
      <c r="AE230" s="537"/>
      <c r="AF230" s="538"/>
      <c r="AH230" s="537"/>
    </row>
    <row r="231" spans="1:34" ht="15.75" customHeight="1" thickBot="1">
      <c r="A231" s="1103"/>
      <c r="B231" s="1103"/>
      <c r="C231" s="1103"/>
      <c r="D231" s="488"/>
      <c r="E231" s="1219"/>
      <c r="F231" s="1219"/>
      <c r="G231" s="1219"/>
      <c r="H231" s="1219"/>
      <c r="I231" s="1237"/>
      <c r="J231" s="1276"/>
      <c r="K231" s="632" t="s">
        <v>669</v>
      </c>
      <c r="L231" s="1230" t="s">
        <v>1428</v>
      </c>
      <c r="M231" s="1231"/>
      <c r="N231" s="1231"/>
      <c r="O231" s="1231"/>
      <c r="P231" s="1232"/>
      <c r="Q231" s="497"/>
      <c r="R231" s="1094" t="s">
        <v>1146</v>
      </c>
      <c r="S231" s="534"/>
      <c r="T231" s="533">
        <f>IF($R231="ja",1,IF($R231="neen",0,IF($R231="ja&gt;75%",0.75,IF($R231="ja&gt;50%",0.5,IF($R231="ja&gt;25%",0.25,IF($R231="à encoder","/"))))))</f>
        <v>0.5</v>
      </c>
      <c r="U231" s="523"/>
      <c r="V231" s="523"/>
      <c r="W231" s="523"/>
      <c r="X231" s="523"/>
      <c r="Y231" s="523"/>
      <c r="Z231" s="523"/>
      <c r="AA231" s="536"/>
      <c r="AB231" s="485"/>
      <c r="AC231" s="1103"/>
      <c r="AF231" s="535"/>
    </row>
    <row r="232" spans="1:34" ht="15.75" customHeight="1" thickBot="1">
      <c r="A232" s="1103"/>
      <c r="B232" s="1103"/>
      <c r="C232" s="1103"/>
      <c r="D232" s="488"/>
      <c r="E232" s="1219"/>
      <c r="F232" s="1219"/>
      <c r="G232" s="1219"/>
      <c r="H232" s="1219"/>
      <c r="I232" s="1237"/>
      <c r="J232" s="1276"/>
      <c r="K232" s="632" t="s">
        <v>668</v>
      </c>
      <c r="L232" s="1230" t="s">
        <v>1429</v>
      </c>
      <c r="M232" s="1231"/>
      <c r="N232" s="1231"/>
      <c r="O232" s="1231"/>
      <c r="P232" s="1232"/>
      <c r="Q232" s="497"/>
      <c r="R232" s="1094" t="s">
        <v>1146</v>
      </c>
      <c r="S232" s="534"/>
      <c r="T232" s="533">
        <f>IF($R232="ja",1,IF($R232="neen",0,IF($R232="ja&gt;75%",0.75,IF($R232="ja&gt;50%",0.5,IF($R232="ja&gt;25%",0.25,IF($R232="à encoder","/"))))))</f>
        <v>0.5</v>
      </c>
      <c r="U232" s="528"/>
      <c r="V232" s="523"/>
      <c r="W232" s="523"/>
      <c r="X232" s="523"/>
      <c r="Y232" s="523"/>
      <c r="Z232" s="523"/>
      <c r="AA232" s="530"/>
      <c r="AB232" s="485"/>
      <c r="AC232" s="1103"/>
    </row>
    <row r="233" spans="1:34" ht="15.75" customHeight="1" thickBot="1">
      <c r="A233" s="1103"/>
      <c r="B233" s="1103"/>
      <c r="C233" s="1103"/>
      <c r="D233" s="488"/>
      <c r="E233" s="1219"/>
      <c r="F233" s="1219"/>
      <c r="G233" s="1219"/>
      <c r="H233" s="1219"/>
      <c r="I233" s="1237"/>
      <c r="J233" s="1276"/>
      <c r="K233" s="632" t="s">
        <v>667</v>
      </c>
      <c r="L233" s="1230" t="s">
        <v>1430</v>
      </c>
      <c r="M233" s="1231"/>
      <c r="N233" s="1231"/>
      <c r="O233" s="1231"/>
      <c r="P233" s="1232"/>
      <c r="Q233" s="497"/>
      <c r="R233" s="1094" t="s">
        <v>1147</v>
      </c>
      <c r="S233" s="534"/>
      <c r="T233" s="533">
        <f>IF($R233="ja",1,IF($R233="neen",0,IF($R233="ja&gt;75%",0.75,IF($R233="ja&gt;50%",0.5,IF($R233="ja&gt;25%",0.25,IF($R233="à encoder","/"))))))</f>
        <v>0.75</v>
      </c>
      <c r="U233" s="528"/>
      <c r="V233" s="523"/>
      <c r="W233" s="523"/>
      <c r="X233" s="523"/>
      <c r="Y233" s="523"/>
      <c r="Z233" s="523"/>
      <c r="AA233" s="530"/>
      <c r="AB233" s="485"/>
      <c r="AC233" s="1103"/>
    </row>
    <row r="234" spans="1:34" ht="15.75" customHeight="1" thickBot="1">
      <c r="A234" s="1103"/>
      <c r="B234" s="1103"/>
      <c r="C234" s="1103"/>
      <c r="D234" s="488"/>
      <c r="E234" s="1219"/>
      <c r="F234" s="1219"/>
      <c r="G234" s="1219"/>
      <c r="H234" s="1219"/>
      <c r="I234" s="1238"/>
      <c r="J234" s="1276"/>
      <c r="K234" s="632" t="s">
        <v>666</v>
      </c>
      <c r="L234" s="1230" t="s">
        <v>1431</v>
      </c>
      <c r="M234" s="1231"/>
      <c r="N234" s="1231"/>
      <c r="O234" s="1231"/>
      <c r="P234" s="1232"/>
      <c r="Q234" s="497"/>
      <c r="R234" s="1093" t="s">
        <v>1096</v>
      </c>
      <c r="S234" s="528"/>
      <c r="T234" s="528"/>
      <c r="U234" s="531" t="s">
        <v>665</v>
      </c>
      <c r="V234" s="523" t="s">
        <v>664</v>
      </c>
      <c r="W234" s="523" t="s">
        <v>663</v>
      </c>
      <c r="X234" s="523" t="s">
        <v>662</v>
      </c>
      <c r="Y234" s="523"/>
      <c r="Z234" s="523"/>
      <c r="AA234" s="530" t="s">
        <v>391</v>
      </c>
      <c r="AB234" s="485"/>
      <c r="AC234" s="1103"/>
    </row>
    <row r="235" spans="1:34" ht="15.75" customHeight="1" thickBot="1">
      <c r="A235" s="1103"/>
      <c r="B235" s="1103"/>
      <c r="C235" s="1103"/>
      <c r="D235" s="488"/>
      <c r="E235" s="1220"/>
      <c r="F235" s="1220"/>
      <c r="G235" s="1220"/>
      <c r="H235" s="1220"/>
      <c r="I235" s="1239"/>
      <c r="J235" s="1299"/>
      <c r="K235" s="631" t="s">
        <v>661</v>
      </c>
      <c r="L235" s="1233" t="s">
        <v>1432</v>
      </c>
      <c r="M235" s="1234"/>
      <c r="N235" s="1234"/>
      <c r="O235" s="1234"/>
      <c r="P235" s="1235"/>
      <c r="Q235" s="497"/>
      <c r="R235" s="1093" t="s">
        <v>1095</v>
      </c>
      <c r="S235" s="528"/>
      <c r="T235" s="527"/>
      <c r="U235" s="526">
        <f>IF(OR(T230="/",T231="/",T232="/"),"/",SUM(T230:T232)/3)</f>
        <v>0.41666666666666669</v>
      </c>
      <c r="V235" s="525">
        <f>IF(R233="à encoder","/",T233)</f>
        <v>0.75</v>
      </c>
      <c r="W235" s="524" t="str">
        <f>IF(R234="à encoder","/",R234)</f>
        <v>neen</v>
      </c>
      <c r="X235" s="524" t="str">
        <f>IF(R235="à encoder","/",R235)</f>
        <v>ja</v>
      </c>
      <c r="Y235" s="523"/>
      <c r="Z235" s="523"/>
      <c r="AA235" s="522" t="str">
        <f>IF(OR(U235="/",V235="/",W235="/",X235="/"),"/",IF(AND((U235&gt;=75%),(V235&gt;=75%),(W235="ja"),(X235="ja")),"4",IF(AND((U235&gt;=45%),(V235&gt;=50%),(W235="ja")),"3",IF(AND((U235&gt;=30%),(V235&gt;=25%)),"2",IF((U235&gt;=15%),"1",0)))))</f>
        <v>2</v>
      </c>
      <c r="AB235" s="485"/>
      <c r="AC235" s="1103"/>
    </row>
    <row r="236" spans="1:34" ht="15.75" customHeight="1" thickBot="1">
      <c r="A236" s="1103"/>
      <c r="B236" s="1103"/>
      <c r="C236" s="1103"/>
      <c r="D236" s="488"/>
      <c r="E236" s="497"/>
      <c r="F236" s="497"/>
      <c r="G236" s="497"/>
      <c r="H236" s="497"/>
      <c r="I236" s="497"/>
      <c r="J236" s="497"/>
      <c r="K236" s="504"/>
      <c r="L236" s="497"/>
      <c r="M236" s="497"/>
      <c r="N236" s="497"/>
      <c r="O236" s="497"/>
      <c r="P236" s="497"/>
      <c r="Q236" s="497"/>
      <c r="R236" s="521"/>
      <c r="S236" s="520"/>
      <c r="T236" s="520"/>
      <c r="U236" s="519" t="s">
        <v>1510</v>
      </c>
      <c r="V236" s="519" t="s">
        <v>1511</v>
      </c>
      <c r="W236" s="519" t="s">
        <v>1512</v>
      </c>
      <c r="X236" s="519" t="s">
        <v>660</v>
      </c>
      <c r="Y236" s="520"/>
      <c r="Z236" s="519"/>
      <c r="AA236" s="518"/>
      <c r="AB236" s="485"/>
      <c r="AC236" s="1103"/>
    </row>
    <row r="237" spans="1:34">
      <c r="A237" s="1103"/>
      <c r="B237" s="1103"/>
      <c r="C237" s="1103"/>
      <c r="D237" s="488"/>
      <c r="E237" s="497"/>
      <c r="F237" s="497"/>
      <c r="G237" s="497"/>
      <c r="H237" s="497"/>
      <c r="I237" s="497"/>
      <c r="J237" s="497"/>
      <c r="K237" s="504"/>
      <c r="L237" s="497"/>
      <c r="M237" s="497"/>
      <c r="N237" s="497"/>
      <c r="O237" s="497"/>
      <c r="P237" s="497"/>
      <c r="Q237" s="497"/>
      <c r="AB237" s="485"/>
      <c r="AC237" s="1103"/>
    </row>
    <row r="238" spans="1:34" ht="15.75" thickBot="1">
      <c r="A238" s="1103"/>
      <c r="B238" s="1103"/>
      <c r="C238" s="1103"/>
      <c r="D238" s="517"/>
      <c r="E238" s="508"/>
      <c r="F238" s="508"/>
      <c r="G238" s="508"/>
      <c r="H238" s="508"/>
      <c r="I238" s="508"/>
      <c r="J238" s="508"/>
      <c r="K238" s="516"/>
      <c r="L238" s="508"/>
      <c r="M238" s="508"/>
      <c r="N238" s="508"/>
      <c r="O238" s="508"/>
      <c r="P238" s="508"/>
      <c r="Q238" s="508"/>
      <c r="R238" s="515"/>
      <c r="S238" s="508"/>
      <c r="T238" s="515"/>
      <c r="U238" s="515"/>
      <c r="V238" s="508"/>
      <c r="W238" s="508"/>
      <c r="X238" s="508"/>
      <c r="Y238" s="508"/>
      <c r="Z238" s="508"/>
      <c r="AA238" s="508"/>
      <c r="AB238" s="514"/>
      <c r="AC238" s="1103"/>
    </row>
    <row r="239" spans="1:34">
      <c r="A239" s="1103"/>
      <c r="B239" s="1103"/>
      <c r="C239" s="1103"/>
      <c r="D239" s="1103"/>
      <c r="E239" s="1103"/>
      <c r="F239" s="1103"/>
      <c r="G239" s="1103"/>
      <c r="H239" s="1103"/>
      <c r="I239" s="1103"/>
      <c r="J239" s="1103"/>
      <c r="K239" s="1103"/>
      <c r="L239" s="1103"/>
      <c r="M239" s="1103"/>
      <c r="N239" s="1103"/>
      <c r="O239" s="1103"/>
      <c r="P239" s="1103"/>
      <c r="Q239" s="1103"/>
      <c r="R239" s="1107"/>
      <c r="S239" s="1103"/>
      <c r="T239" s="1107"/>
      <c r="U239" s="1107"/>
      <c r="V239" s="1103"/>
      <c r="W239" s="1103"/>
      <c r="X239" s="1103"/>
      <c r="Y239" s="1103"/>
      <c r="Z239" s="1103"/>
      <c r="AA239" s="1103"/>
      <c r="AB239" s="1103"/>
      <c r="AC239" s="1103"/>
    </row>
    <row r="240" spans="1:34" ht="15.75" thickBot="1">
      <c r="A240" s="1114"/>
      <c r="B240" s="1114"/>
      <c r="C240" s="1114"/>
      <c r="D240" s="1114"/>
      <c r="E240" s="1114"/>
      <c r="F240" s="1114"/>
      <c r="G240" s="1114"/>
      <c r="H240" s="1114"/>
      <c r="I240" s="1114"/>
      <c r="J240" s="1114"/>
      <c r="K240" s="1115"/>
      <c r="L240" s="1114"/>
      <c r="M240" s="1114"/>
      <c r="N240" s="1114"/>
      <c r="O240" s="1114"/>
      <c r="P240" s="1114"/>
      <c r="Q240" s="1114"/>
      <c r="R240" s="1116"/>
      <c r="S240" s="1114"/>
      <c r="T240" s="1116"/>
      <c r="U240" s="1116"/>
      <c r="V240" s="1114"/>
      <c r="W240" s="1114"/>
      <c r="X240" s="1114"/>
      <c r="Y240" s="1114"/>
      <c r="Z240" s="1114"/>
      <c r="AA240" s="1114"/>
      <c r="AB240" s="1114"/>
      <c r="AC240" s="1114"/>
    </row>
    <row r="241" spans="1:29" ht="15" customHeight="1" thickBot="1">
      <c r="A241" s="1114"/>
      <c r="B241" s="1114"/>
      <c r="C241" s="1114"/>
      <c r="D241" s="492"/>
      <c r="E241" s="491"/>
      <c r="F241" s="491"/>
      <c r="G241" s="491"/>
      <c r="H241" s="491"/>
      <c r="I241" s="491"/>
      <c r="J241" s="491"/>
      <c r="K241" s="617"/>
      <c r="L241" s="491"/>
      <c r="M241" s="491"/>
      <c r="N241" s="491"/>
      <c r="O241" s="491"/>
      <c r="P241" s="491"/>
      <c r="Q241" s="491"/>
      <c r="R241" s="548"/>
      <c r="S241" s="491"/>
      <c r="T241" s="548"/>
      <c r="U241" s="548"/>
      <c r="V241" s="491"/>
      <c r="W241" s="491"/>
      <c r="X241" s="491"/>
      <c r="Y241" s="491"/>
      <c r="Z241" s="491"/>
      <c r="AA241" s="491"/>
      <c r="AB241" s="490"/>
      <c r="AC241" s="1114"/>
    </row>
    <row r="242" spans="1:29" ht="19.5" customHeight="1">
      <c r="A242" s="1114"/>
      <c r="B242" s="1114"/>
      <c r="C242" s="1114"/>
      <c r="D242" s="488"/>
      <c r="E242" s="1438" t="s">
        <v>1433</v>
      </c>
      <c r="F242" s="1439"/>
      <c r="G242" s="1439"/>
      <c r="H242" s="1439"/>
      <c r="I242" s="1439"/>
      <c r="J242" s="1439"/>
      <c r="K242" s="1439"/>
      <c r="L242" s="1439"/>
      <c r="M242" s="1438" t="s">
        <v>1434</v>
      </c>
      <c r="N242" s="1439"/>
      <c r="O242" s="1439"/>
      <c r="P242" s="1442"/>
      <c r="Q242" s="497"/>
      <c r="R242" s="1186" t="s">
        <v>642</v>
      </c>
      <c r="S242" s="1187"/>
      <c r="T242" s="1187"/>
      <c r="U242" s="1187"/>
      <c r="V242" s="1187"/>
      <c r="W242" s="1187"/>
      <c r="X242" s="1187"/>
      <c r="Y242" s="1187"/>
      <c r="Z242" s="1187"/>
      <c r="AA242" s="1188"/>
      <c r="AB242" s="485"/>
      <c r="AC242" s="1114"/>
    </row>
    <row r="243" spans="1:29" ht="15.75" thickBot="1">
      <c r="A243" s="1114"/>
      <c r="B243" s="1114"/>
      <c r="C243" s="1114"/>
      <c r="D243" s="488"/>
      <c r="E243" s="1440"/>
      <c r="F243" s="1441"/>
      <c r="G243" s="1441"/>
      <c r="H243" s="1441"/>
      <c r="I243" s="1441"/>
      <c r="J243" s="1441"/>
      <c r="K243" s="1441"/>
      <c r="L243" s="1441"/>
      <c r="M243" s="1440"/>
      <c r="N243" s="1441"/>
      <c r="O243" s="1441"/>
      <c r="P243" s="1443"/>
      <c r="Q243" s="497"/>
      <c r="R243" s="1189"/>
      <c r="S243" s="1190"/>
      <c r="T243" s="1190"/>
      <c r="U243" s="1190"/>
      <c r="V243" s="1190"/>
      <c r="W243" s="1190"/>
      <c r="X243" s="1190"/>
      <c r="Y243" s="1190"/>
      <c r="Z243" s="1190"/>
      <c r="AA243" s="1191"/>
      <c r="AB243" s="485"/>
      <c r="AC243" s="1114"/>
    </row>
    <row r="244" spans="1:29" ht="15.75" thickBot="1">
      <c r="A244" s="1114"/>
      <c r="B244" s="1114"/>
      <c r="C244" s="1114"/>
      <c r="D244" s="488"/>
      <c r="E244" s="497"/>
      <c r="F244" s="497"/>
      <c r="G244" s="497"/>
      <c r="H244" s="497"/>
      <c r="I244" s="497"/>
      <c r="J244" s="497"/>
      <c r="K244" s="504"/>
      <c r="L244" s="497"/>
      <c r="M244" s="497"/>
      <c r="N244" s="497"/>
      <c r="O244" s="497"/>
      <c r="P244" s="497"/>
      <c r="Q244" s="497"/>
      <c r="R244" s="1168" t="str">
        <f>L458</f>
        <v>3</v>
      </c>
      <c r="S244" s="1169"/>
      <c r="T244" s="1169"/>
      <c r="U244" s="1169"/>
      <c r="V244" s="1169"/>
      <c r="W244" s="1169"/>
      <c r="X244" s="1169"/>
      <c r="Y244" s="1169"/>
      <c r="Z244" s="1169"/>
      <c r="AA244" s="1170"/>
      <c r="AB244" s="485"/>
      <c r="AC244" s="1114"/>
    </row>
    <row r="245" spans="1:29" ht="15.75" thickBot="1">
      <c r="A245" s="1114"/>
      <c r="B245" s="1114"/>
      <c r="C245" s="1114"/>
      <c r="D245" s="488"/>
      <c r="E245" s="1436" t="s">
        <v>743</v>
      </c>
      <c r="F245" s="1482"/>
      <c r="G245" s="1482"/>
      <c r="H245" s="1482"/>
      <c r="I245" s="1482"/>
      <c r="J245" s="1482"/>
      <c r="K245" s="1482"/>
      <c r="L245" s="1437"/>
      <c r="M245" s="1436" t="s">
        <v>387</v>
      </c>
      <c r="N245" s="1437"/>
      <c r="Q245" s="510"/>
      <c r="R245" s="1171"/>
      <c r="S245" s="1172"/>
      <c r="T245" s="1172"/>
      <c r="U245" s="1172"/>
      <c r="V245" s="1172"/>
      <c r="W245" s="1172"/>
      <c r="X245" s="1172"/>
      <c r="Y245" s="1172"/>
      <c r="Z245" s="1172"/>
      <c r="AA245" s="1173"/>
      <c r="AB245" s="485"/>
      <c r="AC245" s="1114"/>
    </row>
    <row r="246" spans="1:29" ht="15.75" customHeight="1" thickBot="1">
      <c r="A246" s="1114"/>
      <c r="B246" s="1114"/>
      <c r="C246" s="1114"/>
      <c r="D246" s="488"/>
      <c r="E246" s="1313" t="s">
        <v>1435</v>
      </c>
      <c r="F246" s="1314"/>
      <c r="G246" s="1314"/>
      <c r="H246" s="1314"/>
      <c r="I246" s="1314"/>
      <c r="J246" s="1314"/>
      <c r="K246" s="1315"/>
      <c r="L246" s="625" t="s">
        <v>1439</v>
      </c>
      <c r="M246" s="627" t="s">
        <v>1444</v>
      </c>
      <c r="N246" s="626"/>
      <c r="Q246" s="510"/>
      <c r="R246" s="1171"/>
      <c r="S246" s="1172"/>
      <c r="T246" s="1172"/>
      <c r="U246" s="1172"/>
      <c r="V246" s="1172"/>
      <c r="W246" s="1172"/>
      <c r="X246" s="1172"/>
      <c r="Y246" s="1172"/>
      <c r="Z246" s="1172"/>
      <c r="AA246" s="1173"/>
      <c r="AB246" s="485"/>
      <c r="AC246" s="1114"/>
    </row>
    <row r="247" spans="1:29" ht="15.75" customHeight="1" thickBot="1">
      <c r="A247" s="1114"/>
      <c r="B247" s="1114"/>
      <c r="C247" s="1114"/>
      <c r="D247" s="488"/>
      <c r="E247" s="1260" t="s">
        <v>1352</v>
      </c>
      <c r="F247" s="1261"/>
      <c r="G247" s="1261"/>
      <c r="H247" s="1261"/>
      <c r="I247" s="1262"/>
      <c r="J247" s="1265">
        <v>100</v>
      </c>
      <c r="K247" s="1266"/>
      <c r="L247" s="1081">
        <v>1000</v>
      </c>
      <c r="M247" s="1277">
        <f>J249+J253+J257</f>
        <v>600</v>
      </c>
      <c r="N247" s="1278"/>
      <c r="Q247" s="618"/>
      <c r="R247" s="1174"/>
      <c r="S247" s="1175"/>
      <c r="T247" s="1175"/>
      <c r="U247" s="1175"/>
      <c r="V247" s="1175"/>
      <c r="W247" s="1175"/>
      <c r="X247" s="1175"/>
      <c r="Y247" s="1175"/>
      <c r="Z247" s="1175"/>
      <c r="AA247" s="1176"/>
      <c r="AB247" s="485"/>
      <c r="AC247" s="1114"/>
    </row>
    <row r="248" spans="1:29" ht="15.75" customHeight="1" thickBot="1">
      <c r="A248" s="1114"/>
      <c r="B248" s="1114"/>
      <c r="C248" s="1114"/>
      <c r="D248" s="488"/>
      <c r="E248" s="1260" t="s">
        <v>1353</v>
      </c>
      <c r="F248" s="1261"/>
      <c r="G248" s="1261"/>
      <c r="H248" s="1261"/>
      <c r="I248" s="1262"/>
      <c r="J248" s="1265">
        <v>3</v>
      </c>
      <c r="K248" s="1266"/>
      <c r="L248" s="625" t="s">
        <v>1440</v>
      </c>
      <c r="M248" s="630" t="s">
        <v>1445</v>
      </c>
      <c r="N248" s="626"/>
      <c r="Q248" s="510"/>
      <c r="R248" s="629"/>
      <c r="S248" s="629"/>
      <c r="T248" s="629"/>
      <c r="U248" s="629"/>
      <c r="V248" s="629"/>
      <c r="W248" s="629"/>
      <c r="X248" s="629"/>
      <c r="Y248" s="629"/>
      <c r="Z248" s="629"/>
      <c r="AA248" s="629"/>
      <c r="AB248" s="485"/>
      <c r="AC248" s="1114"/>
    </row>
    <row r="249" spans="1:29" ht="15.75" customHeight="1" thickBot="1">
      <c r="A249" s="1114"/>
      <c r="B249" s="1114"/>
      <c r="C249" s="1114"/>
      <c r="D249" s="488"/>
      <c r="E249" s="1256" t="s">
        <v>1436</v>
      </c>
      <c r="F249" s="1257"/>
      <c r="G249" s="1257"/>
      <c r="H249" s="1257"/>
      <c r="I249" s="1257"/>
      <c r="J249" s="1279">
        <f>J247*J248</f>
        <v>300</v>
      </c>
      <c r="K249" s="1280"/>
      <c r="L249" s="1081">
        <v>1000</v>
      </c>
      <c r="M249" s="1277">
        <f>L247+L249</f>
        <v>2000</v>
      </c>
      <c r="N249" s="1278"/>
      <c r="Q249" s="618"/>
      <c r="R249" s="629"/>
      <c r="S249" s="629"/>
      <c r="T249" s="629"/>
      <c r="U249" s="629"/>
      <c r="V249" s="629"/>
      <c r="W249" s="629"/>
      <c r="X249" s="629"/>
      <c r="Y249" s="629"/>
      <c r="Z249" s="629"/>
      <c r="AA249" s="629"/>
      <c r="AB249" s="485"/>
      <c r="AC249" s="1114"/>
    </row>
    <row r="250" spans="1:29" ht="15.75" customHeight="1" thickBot="1">
      <c r="A250" s="1114"/>
      <c r="B250" s="1114"/>
      <c r="C250" s="1114"/>
      <c r="D250" s="488"/>
      <c r="E250" s="1325" t="s">
        <v>1437</v>
      </c>
      <c r="F250" s="1326"/>
      <c r="G250" s="1326"/>
      <c r="H250" s="1326"/>
      <c r="I250" s="1326"/>
      <c r="J250" s="1254"/>
      <c r="K250" s="1255"/>
      <c r="L250" s="625" t="s">
        <v>1441</v>
      </c>
      <c r="M250" s="627" t="s">
        <v>1446</v>
      </c>
      <c r="N250" s="626"/>
      <c r="Q250" s="510"/>
      <c r="R250" s="629"/>
      <c r="S250" s="629"/>
      <c r="T250" s="629"/>
      <c r="U250" s="629"/>
      <c r="V250" s="629"/>
      <c r="W250" s="629"/>
      <c r="X250" s="629"/>
      <c r="Y250" s="629"/>
      <c r="Z250" s="629"/>
      <c r="AA250" s="629"/>
      <c r="AB250" s="485"/>
      <c r="AC250" s="1114"/>
    </row>
    <row r="251" spans="1:29" ht="15.75" thickBot="1">
      <c r="A251" s="1114"/>
      <c r="B251" s="1114"/>
      <c r="C251" s="1114"/>
      <c r="D251" s="488"/>
      <c r="E251" s="1260" t="s">
        <v>1352</v>
      </c>
      <c r="F251" s="1261"/>
      <c r="G251" s="1261"/>
      <c r="H251" s="1261"/>
      <c r="I251" s="1262"/>
      <c r="J251" s="1265">
        <v>100</v>
      </c>
      <c r="K251" s="1266"/>
      <c r="L251" s="1082">
        <v>1000</v>
      </c>
      <c r="M251" s="1277">
        <f>M249+L251+L253</f>
        <v>4000</v>
      </c>
      <c r="N251" s="1278"/>
      <c r="Q251" s="618"/>
      <c r="R251" s="620"/>
      <c r="S251" s="622"/>
      <c r="T251" s="621"/>
      <c r="U251" s="620"/>
      <c r="V251" s="497"/>
      <c r="W251" s="497"/>
      <c r="X251" s="497"/>
      <c r="Y251" s="497"/>
      <c r="Z251" s="497"/>
      <c r="AA251" s="497"/>
      <c r="AB251" s="485"/>
      <c r="AC251" s="1114"/>
    </row>
    <row r="252" spans="1:29" ht="15.75" thickBot="1">
      <c r="A252" s="1114"/>
      <c r="B252" s="1114"/>
      <c r="C252" s="1114"/>
      <c r="D252" s="488"/>
      <c r="E252" s="1260" t="s">
        <v>1353</v>
      </c>
      <c r="F252" s="1261"/>
      <c r="G252" s="1261"/>
      <c r="H252" s="1261"/>
      <c r="I252" s="1262"/>
      <c r="J252" s="1265">
        <v>1</v>
      </c>
      <c r="K252" s="1266"/>
      <c r="L252" s="628" t="s">
        <v>1442</v>
      </c>
      <c r="M252" s="627" t="s">
        <v>1447</v>
      </c>
      <c r="N252" s="626"/>
      <c r="Q252" s="510"/>
      <c r="R252" s="620"/>
      <c r="S252" s="622"/>
      <c r="T252" s="621"/>
      <c r="U252" s="620"/>
      <c r="V252" s="497"/>
      <c r="W252" s="497"/>
      <c r="X252" s="497"/>
      <c r="Y252" s="497"/>
      <c r="Z252" s="497"/>
      <c r="AA252" s="497"/>
      <c r="AB252" s="485"/>
      <c r="AC252" s="1114"/>
    </row>
    <row r="253" spans="1:29" ht="15.75" thickBot="1">
      <c r="A253" s="1114"/>
      <c r="B253" s="1114"/>
      <c r="C253" s="1114"/>
      <c r="D253" s="488"/>
      <c r="E253" s="1256" t="s">
        <v>1436</v>
      </c>
      <c r="F253" s="1257"/>
      <c r="G253" s="1257"/>
      <c r="H253" s="1257"/>
      <c r="I253" s="1257"/>
      <c r="J253" s="1279">
        <f>J251*J252</f>
        <v>100</v>
      </c>
      <c r="K253" s="1280"/>
      <c r="L253" s="1112">
        <v>1000</v>
      </c>
      <c r="M253" s="1446">
        <f>M249+L251+L253+M247</f>
        <v>4600</v>
      </c>
      <c r="N253" s="1447"/>
      <c r="Q253" s="618"/>
      <c r="R253" s="620"/>
      <c r="S253" s="622"/>
      <c r="T253" s="621"/>
      <c r="U253" s="620"/>
      <c r="V253" s="497"/>
      <c r="W253" s="497"/>
      <c r="X253" s="497"/>
      <c r="Y253" s="497"/>
      <c r="Z253" s="497"/>
      <c r="AA253" s="497"/>
      <c r="AB253" s="485"/>
      <c r="AC253" s="1114"/>
    </row>
    <row r="254" spans="1:29" ht="15.75" thickBot="1">
      <c r="A254" s="1114"/>
      <c r="B254" s="1114"/>
      <c r="C254" s="1114"/>
      <c r="D254" s="488"/>
      <c r="E254" s="1253" t="s">
        <v>1438</v>
      </c>
      <c r="F254" s="1254"/>
      <c r="G254" s="1254"/>
      <c r="H254" s="1254"/>
      <c r="I254" s="1254"/>
      <c r="J254" s="1254"/>
      <c r="K254" s="1255"/>
      <c r="L254" s="625" t="s">
        <v>1443</v>
      </c>
      <c r="M254" s="1483"/>
      <c r="N254" s="1484"/>
      <c r="Q254" s="510"/>
      <c r="R254" s="620"/>
      <c r="S254" s="624"/>
      <c r="T254" s="624"/>
      <c r="U254" s="620"/>
      <c r="V254" s="497"/>
      <c r="W254" s="497"/>
      <c r="X254" s="497"/>
      <c r="Y254" s="497"/>
      <c r="Z254" s="497"/>
      <c r="AA254" s="497"/>
      <c r="AB254" s="485"/>
      <c r="AC254" s="1114"/>
    </row>
    <row r="255" spans="1:29" ht="15.75" thickBot="1">
      <c r="A255" s="1114"/>
      <c r="B255" s="1114"/>
      <c r="C255" s="1114"/>
      <c r="D255" s="488"/>
      <c r="E255" s="1260" t="s">
        <v>1352</v>
      </c>
      <c r="F255" s="1261"/>
      <c r="G255" s="1261"/>
      <c r="H255" s="1261"/>
      <c r="I255" s="1262"/>
      <c r="J255" s="1265">
        <v>100</v>
      </c>
      <c r="K255" s="1266"/>
      <c r="L255" s="1113">
        <v>1000</v>
      </c>
      <c r="M255" s="1258"/>
      <c r="N255" s="1259"/>
      <c r="Q255" s="618"/>
      <c r="R255" s="620"/>
      <c r="S255" s="622"/>
      <c r="T255" s="621"/>
      <c r="U255" s="620"/>
      <c r="V255" s="497"/>
      <c r="W255" s="497"/>
      <c r="X255" s="497"/>
      <c r="Y255" s="497"/>
      <c r="Z255" s="497"/>
      <c r="AA255" s="497"/>
      <c r="AB255" s="485"/>
      <c r="AC255" s="1114"/>
    </row>
    <row r="256" spans="1:29" ht="15.75" thickBot="1">
      <c r="A256" s="1114"/>
      <c r="B256" s="1114"/>
      <c r="C256" s="1114"/>
      <c r="D256" s="488"/>
      <c r="E256" s="1260" t="s">
        <v>1353</v>
      </c>
      <c r="F256" s="1261"/>
      <c r="G256" s="1261"/>
      <c r="H256" s="1261"/>
      <c r="I256" s="1262"/>
      <c r="J256" s="1265">
        <v>2</v>
      </c>
      <c r="K256" s="1266"/>
      <c r="L256" s="590"/>
      <c r="M256" s="1291"/>
      <c r="N256" s="1292"/>
      <c r="Q256" s="510"/>
      <c r="R256" s="620"/>
      <c r="S256" s="622"/>
      <c r="T256" s="621"/>
      <c r="U256" s="620"/>
      <c r="V256" s="497"/>
      <c r="W256" s="497"/>
      <c r="X256" s="497"/>
      <c r="Y256" s="497"/>
      <c r="Z256" s="497"/>
      <c r="AA256" s="497"/>
      <c r="AB256" s="485"/>
      <c r="AC256" s="1114"/>
    </row>
    <row r="257" spans="1:38" ht="15.75" thickBot="1">
      <c r="A257" s="1114"/>
      <c r="B257" s="1114"/>
      <c r="C257" s="1114"/>
      <c r="D257" s="488"/>
      <c r="E257" s="1256" t="s">
        <v>1436</v>
      </c>
      <c r="F257" s="1257"/>
      <c r="G257" s="1257"/>
      <c r="H257" s="1257"/>
      <c r="I257" s="1257"/>
      <c r="J257" s="1279">
        <f>J255*J256</f>
        <v>200</v>
      </c>
      <c r="K257" s="1280"/>
      <c r="L257" s="623"/>
      <c r="M257" s="1444"/>
      <c r="N257" s="1445"/>
      <c r="Q257" s="618"/>
      <c r="R257" s="620"/>
      <c r="S257" s="622"/>
      <c r="T257" s="621"/>
      <c r="U257" s="620"/>
      <c r="V257" s="497"/>
      <c r="W257" s="497"/>
      <c r="X257" s="497"/>
      <c r="Y257" s="497"/>
      <c r="Z257" s="497"/>
      <c r="AA257" s="497"/>
      <c r="AB257" s="485"/>
      <c r="AC257" s="1114"/>
    </row>
    <row r="258" spans="1:38" ht="15.75" thickBot="1">
      <c r="A258" s="1114"/>
      <c r="B258" s="1114"/>
      <c r="C258" s="1114"/>
      <c r="D258" s="517"/>
      <c r="E258" s="508"/>
      <c r="F258" s="508"/>
      <c r="G258" s="508"/>
      <c r="H258" s="508"/>
      <c r="I258" s="508"/>
      <c r="J258" s="508"/>
      <c r="K258" s="516"/>
      <c r="L258" s="508"/>
      <c r="M258" s="619"/>
      <c r="N258" s="619"/>
      <c r="O258" s="508"/>
      <c r="P258" s="508"/>
      <c r="Q258" s="508"/>
      <c r="R258" s="515"/>
      <c r="S258" s="508"/>
      <c r="T258" s="515"/>
      <c r="U258" s="515"/>
      <c r="V258" s="508"/>
      <c r="W258" s="508"/>
      <c r="X258" s="508"/>
      <c r="Y258" s="508"/>
      <c r="Z258" s="508"/>
      <c r="AA258" s="508"/>
      <c r="AB258" s="514"/>
      <c r="AC258" s="1114"/>
    </row>
    <row r="259" spans="1:38" ht="15" customHeight="1" thickBot="1">
      <c r="A259" s="1114"/>
      <c r="B259" s="1114"/>
      <c r="C259" s="1114"/>
      <c r="D259" s="1119"/>
      <c r="E259" s="1119"/>
      <c r="F259" s="1119"/>
      <c r="G259" s="1119"/>
      <c r="H259" s="1119"/>
      <c r="I259" s="1119"/>
      <c r="J259" s="1119"/>
      <c r="K259" s="1120"/>
      <c r="L259" s="1119"/>
      <c r="M259" s="1132"/>
      <c r="N259" s="1132"/>
      <c r="O259" s="1119"/>
      <c r="P259" s="1119"/>
      <c r="Q259" s="1114"/>
      <c r="R259" s="1116"/>
      <c r="S259" s="1114"/>
      <c r="T259" s="1116"/>
      <c r="U259" s="1116"/>
      <c r="V259" s="1114"/>
      <c r="W259" s="1114"/>
      <c r="X259" s="1114"/>
      <c r="Y259" s="1114"/>
      <c r="Z259" s="1114"/>
      <c r="AA259" s="1114"/>
      <c r="AB259" s="1114"/>
      <c r="AC259" s="1114"/>
    </row>
    <row r="260" spans="1:38" ht="15.75" thickBot="1">
      <c r="A260" s="1114"/>
      <c r="B260" s="1114"/>
      <c r="C260" s="1114"/>
      <c r="D260" s="492"/>
      <c r="E260" s="491"/>
      <c r="F260" s="491"/>
      <c r="G260" s="491"/>
      <c r="H260" s="491"/>
      <c r="I260" s="491"/>
      <c r="J260" s="491"/>
      <c r="K260" s="617"/>
      <c r="L260" s="491"/>
      <c r="M260" s="491"/>
      <c r="N260" s="491"/>
      <c r="O260" s="491"/>
      <c r="P260" s="491"/>
      <c r="Q260" s="491"/>
      <c r="R260" s="548"/>
      <c r="S260" s="491"/>
      <c r="T260" s="548"/>
      <c r="U260" s="548"/>
      <c r="V260" s="491"/>
      <c r="W260" s="491"/>
      <c r="X260" s="491"/>
      <c r="Y260" s="491"/>
      <c r="Z260" s="491"/>
      <c r="AA260" s="491"/>
      <c r="AB260" s="490"/>
      <c r="AC260" s="1114"/>
    </row>
    <row r="261" spans="1:38" ht="15" customHeight="1">
      <c r="A261" s="1114"/>
      <c r="B261" s="1114"/>
      <c r="C261" s="1114"/>
      <c r="D261" s="488"/>
      <c r="E261" s="1281" t="s">
        <v>1448</v>
      </c>
      <c r="F261" s="1282"/>
      <c r="G261" s="1282"/>
      <c r="H261" s="1282"/>
      <c r="I261" s="1282"/>
      <c r="J261" s="1282"/>
      <c r="K261" s="1282"/>
      <c r="L261" s="1282"/>
      <c r="M261" s="1282"/>
      <c r="N261" s="1282"/>
      <c r="O261" s="1282"/>
      <c r="P261" s="1283"/>
      <c r="Q261" s="497"/>
      <c r="R261" s="616"/>
      <c r="S261" s="616"/>
      <c r="T261" s="616"/>
      <c r="U261" s="616"/>
      <c r="V261" s="616"/>
      <c r="W261" s="616"/>
      <c r="X261" s="616"/>
      <c r="Y261" s="616"/>
      <c r="Z261" s="616"/>
      <c r="AA261" s="616"/>
      <c r="AB261" s="485"/>
      <c r="AC261" s="1114"/>
    </row>
    <row r="262" spans="1:38" ht="15.75" thickBot="1">
      <c r="A262" s="1114"/>
      <c r="B262" s="1114"/>
      <c r="C262" s="1114"/>
      <c r="D262" s="488"/>
      <c r="E262" s="1284"/>
      <c r="F262" s="1285"/>
      <c r="G262" s="1285"/>
      <c r="H262" s="1285"/>
      <c r="I262" s="1285"/>
      <c r="J262" s="1286"/>
      <c r="K262" s="1286"/>
      <c r="L262" s="1286"/>
      <c r="M262" s="1286"/>
      <c r="N262" s="1286"/>
      <c r="O262" s="1286"/>
      <c r="P262" s="1287"/>
      <c r="Q262" s="497"/>
      <c r="R262" s="616"/>
      <c r="S262" s="616"/>
      <c r="T262" s="616"/>
      <c r="U262" s="616"/>
      <c r="V262" s="616"/>
      <c r="W262" s="616"/>
      <c r="X262" s="616"/>
      <c r="Y262" s="616"/>
      <c r="Z262" s="616"/>
      <c r="AA262" s="616"/>
      <c r="AB262" s="485"/>
      <c r="AC262" s="1114"/>
    </row>
    <row r="263" spans="1:38" ht="15" customHeight="1">
      <c r="A263" s="1114"/>
      <c r="B263" s="1114"/>
      <c r="C263" s="1114"/>
      <c r="D263" s="488"/>
      <c r="E263" s="1293" t="s">
        <v>1120</v>
      </c>
      <c r="F263" s="1294"/>
      <c r="G263" s="1294"/>
      <c r="H263" s="1295"/>
      <c r="I263" s="1398" t="s">
        <v>1123</v>
      </c>
      <c r="J263" s="1399"/>
      <c r="K263" s="1399"/>
      <c r="L263" s="1400"/>
      <c r="M263" s="1263" t="s">
        <v>641</v>
      </c>
      <c r="N263" s="1263" t="s">
        <v>639</v>
      </c>
      <c r="O263" s="1263" t="s">
        <v>638</v>
      </c>
      <c r="P263" s="1263" t="s">
        <v>636</v>
      </c>
      <c r="Q263" s="497"/>
      <c r="R263" s="615"/>
      <c r="S263" s="615"/>
      <c r="T263" s="615"/>
      <c r="U263" s="615"/>
      <c r="V263" s="615"/>
      <c r="W263" s="615"/>
      <c r="X263" s="615"/>
      <c r="Y263" s="615"/>
      <c r="Z263" s="615"/>
      <c r="AA263" s="615"/>
      <c r="AB263" s="485"/>
      <c r="AC263" s="1114"/>
    </row>
    <row r="264" spans="1:38" ht="15.75" customHeight="1" thickBot="1">
      <c r="A264" s="1114"/>
      <c r="B264" s="1114"/>
      <c r="C264" s="1114"/>
      <c r="D264" s="488"/>
      <c r="E264" s="1296"/>
      <c r="F264" s="1297"/>
      <c r="G264" s="1297"/>
      <c r="H264" s="1298"/>
      <c r="I264" s="1401"/>
      <c r="J264" s="1402"/>
      <c r="K264" s="1402"/>
      <c r="L264" s="1403"/>
      <c r="M264" s="1264"/>
      <c r="N264" s="1264"/>
      <c r="O264" s="1264"/>
      <c r="P264" s="1264"/>
      <c r="Q264" s="497"/>
      <c r="R264" s="615"/>
      <c r="S264" s="615"/>
      <c r="T264" s="615"/>
      <c r="U264" s="615"/>
      <c r="V264" s="615"/>
      <c r="W264" s="615"/>
      <c r="X264" s="615"/>
      <c r="Y264" s="615"/>
      <c r="Z264" s="615"/>
      <c r="AA264" s="615"/>
      <c r="AB264" s="485"/>
      <c r="AC264" s="1114"/>
    </row>
    <row r="265" spans="1:38" ht="15.75" customHeight="1" thickBot="1">
      <c r="A265" s="1114"/>
      <c r="B265" s="1114"/>
      <c r="C265" s="1114"/>
      <c r="D265" s="488"/>
      <c r="E265" s="1251" t="s">
        <v>1121</v>
      </c>
      <c r="F265" s="1251" t="s">
        <v>1122</v>
      </c>
      <c r="G265" s="1251" t="s">
        <v>674</v>
      </c>
      <c r="H265" s="1251" t="s">
        <v>1500</v>
      </c>
      <c r="I265" s="1130" t="s">
        <v>135</v>
      </c>
      <c r="J265" s="1288" t="s">
        <v>1366</v>
      </c>
      <c r="K265" s="1289"/>
      <c r="L265" s="1289"/>
      <c r="M265" s="1289"/>
      <c r="N265" s="1289"/>
      <c r="O265" s="1289"/>
      <c r="P265" s="1290"/>
      <c r="Q265" s="497"/>
      <c r="R265" s="615"/>
      <c r="S265" s="615"/>
      <c r="T265" s="615"/>
      <c r="U265" s="615"/>
      <c r="V265" s="615"/>
      <c r="W265" s="615"/>
      <c r="X265" s="615"/>
      <c r="Y265" s="615"/>
      <c r="Z265" s="615"/>
      <c r="AA265" s="615"/>
      <c r="AB265" s="485"/>
      <c r="AC265" s="1114"/>
    </row>
    <row r="266" spans="1:38" ht="15.75" customHeight="1" thickBot="1">
      <c r="A266" s="1114"/>
      <c r="B266" s="1114"/>
      <c r="C266" s="1114"/>
      <c r="D266" s="488"/>
      <c r="E266" s="1252"/>
      <c r="F266" s="1252"/>
      <c r="G266" s="1252"/>
      <c r="H266" s="1252"/>
      <c r="I266" s="1124" t="s">
        <v>742</v>
      </c>
      <c r="J266" s="1269" t="s">
        <v>1367</v>
      </c>
      <c r="K266" s="1270"/>
      <c r="L266" s="1270"/>
      <c r="M266" s="1270"/>
      <c r="N266" s="1270"/>
      <c r="O266" s="1270"/>
      <c r="P266" s="1271"/>
      <c r="Q266" s="497"/>
      <c r="R266" s="615"/>
      <c r="S266" s="615"/>
      <c r="T266" s="615"/>
      <c r="U266" s="615"/>
      <c r="V266" s="615"/>
      <c r="W266" s="615"/>
      <c r="X266" s="615"/>
      <c r="Y266" s="615"/>
      <c r="Z266" s="615"/>
      <c r="AA266" s="615"/>
      <c r="AB266" s="485"/>
      <c r="AC266" s="1114"/>
    </row>
    <row r="267" spans="1:38" ht="15" customHeight="1" thickBot="1">
      <c r="A267" s="1114"/>
      <c r="B267" s="1114"/>
      <c r="C267" s="1114"/>
      <c r="D267" s="488"/>
      <c r="E267" s="1218" t="s">
        <v>672</v>
      </c>
      <c r="F267" s="1218" t="s">
        <v>672</v>
      </c>
      <c r="G267" s="1218" t="s">
        <v>672</v>
      </c>
      <c r="H267" s="1218" t="s">
        <v>672</v>
      </c>
      <c r="I267" s="1236" t="s">
        <v>741</v>
      </c>
      <c r="J267" s="551" t="s">
        <v>1127</v>
      </c>
      <c r="K267" s="1267" t="s">
        <v>1368</v>
      </c>
      <c r="L267" s="1268"/>
      <c r="M267" s="550" t="s">
        <v>641</v>
      </c>
      <c r="N267" s="550" t="s">
        <v>639</v>
      </c>
      <c r="O267" s="550" t="s">
        <v>638</v>
      </c>
      <c r="P267" s="549" t="s">
        <v>636</v>
      </c>
      <c r="Q267" s="497"/>
      <c r="R267" s="615"/>
      <c r="S267" s="615"/>
      <c r="T267" s="615"/>
      <c r="U267" s="615"/>
      <c r="V267" s="615"/>
      <c r="W267" s="615"/>
      <c r="X267" s="615"/>
      <c r="Y267" s="615"/>
      <c r="Z267" s="615"/>
      <c r="AA267" s="615"/>
      <c r="AB267" s="485"/>
      <c r="AC267" s="1114"/>
    </row>
    <row r="268" spans="1:38" ht="260.25" customHeight="1" thickBot="1">
      <c r="A268" s="1114"/>
      <c r="B268" s="1117" t="s">
        <v>1134</v>
      </c>
      <c r="C268" s="1114"/>
      <c r="D268" s="488"/>
      <c r="E268" s="1243"/>
      <c r="F268" s="1243"/>
      <c r="G268" s="1243"/>
      <c r="H268" s="1243"/>
      <c r="I268" s="1237"/>
      <c r="J268" s="547" t="s">
        <v>1135</v>
      </c>
      <c r="K268" s="1160" t="s">
        <v>1369</v>
      </c>
      <c r="L268" s="1244"/>
      <c r="M268" s="614" t="s">
        <v>1372</v>
      </c>
      <c r="N268" s="600" t="s">
        <v>1370</v>
      </c>
      <c r="O268" s="614" t="s">
        <v>1371</v>
      </c>
      <c r="P268" s="600" t="s">
        <v>1373</v>
      </c>
      <c r="Q268" s="497"/>
      <c r="R268" s="496"/>
      <c r="S268" s="516"/>
      <c r="T268" s="613"/>
      <c r="U268" s="613"/>
      <c r="V268" s="613"/>
      <c r="W268" s="613"/>
      <c r="X268" s="497"/>
      <c r="Y268" s="497"/>
      <c r="Z268" s="497"/>
      <c r="AA268" s="497"/>
      <c r="AB268" s="485"/>
      <c r="AC268" s="1114"/>
      <c r="AD268" s="612"/>
      <c r="AE268" s="612"/>
      <c r="AF268" s="612"/>
      <c r="AG268" s="612"/>
      <c r="AH268" s="612"/>
    </row>
    <row r="269" spans="1:38" ht="15.75" customHeight="1" thickBot="1">
      <c r="A269" s="1114"/>
      <c r="B269" s="1114"/>
      <c r="C269" s="1114"/>
      <c r="D269" s="488"/>
      <c r="E269" s="1243"/>
      <c r="F269" s="1243"/>
      <c r="G269" s="1243"/>
      <c r="H269" s="1243"/>
      <c r="I269" s="1237"/>
      <c r="J269" s="1245" t="s">
        <v>1132</v>
      </c>
      <c r="K269" s="544" t="s">
        <v>724</v>
      </c>
      <c r="L269" s="1227" t="s">
        <v>1374</v>
      </c>
      <c r="M269" s="1228"/>
      <c r="N269" s="1228"/>
      <c r="O269" s="1228"/>
      <c r="P269" s="1229"/>
      <c r="Q269" s="590"/>
      <c r="R269" s="1093" t="s">
        <v>1095</v>
      </c>
      <c r="S269" s="597"/>
      <c r="T269" s="596">
        <f t="shared" ref="T269:U272" si="7">IF($R269="ja",$S269*1,IF($R269="neen","0,00 m²",IF($R269="à encoder","/")))</f>
        <v>0</v>
      </c>
      <c r="U269" s="596">
        <f t="shared" si="7"/>
        <v>0</v>
      </c>
      <c r="V269" s="596">
        <f>IF($R269="ja",$S269*0.5,IF($R269="neen","0,00 m²",IF($R269="à encoder","/")))</f>
        <v>0</v>
      </c>
      <c r="W269" s="1154" t="str">
        <f>IF(SUMIF(R269:R272,"ja",(S269:S272))&gt;($J$249),"Surface totale voiries automobiles plus grande que la surface encodée dans les caractéristiques physiques du site","")</f>
        <v/>
      </c>
      <c r="X269" s="1154"/>
      <c r="Y269" s="1154"/>
      <c r="Z269" s="1154"/>
      <c r="AA269" s="1481">
        <f>SUMIF(R269:R272,"ja",(S269:S272))/($J$249)</f>
        <v>0</v>
      </c>
      <c r="AB269" s="485"/>
      <c r="AC269" s="1114"/>
      <c r="AE269" s="537" t="s">
        <v>702</v>
      </c>
      <c r="AF269" s="579" t="s">
        <v>697</v>
      </c>
      <c r="AG269" s="567" t="s">
        <v>686</v>
      </c>
      <c r="AH269" s="537" t="s">
        <v>722</v>
      </c>
      <c r="AI269" s="608">
        <v>1</v>
      </c>
      <c r="AJ269" s="538" t="s">
        <v>1095</v>
      </c>
      <c r="AK269" s="537" t="s">
        <v>740</v>
      </c>
      <c r="AL269" s="567" t="s">
        <v>1148</v>
      </c>
    </row>
    <row r="270" spans="1:38" ht="15.75" customHeight="1" thickBot="1">
      <c r="A270" s="1114"/>
      <c r="B270" s="1114"/>
      <c r="C270" s="1114"/>
      <c r="D270" s="488"/>
      <c r="E270" s="1243"/>
      <c r="F270" s="1243"/>
      <c r="G270" s="1243"/>
      <c r="H270" s="1243"/>
      <c r="I270" s="1237"/>
      <c r="J270" s="1246"/>
      <c r="K270" s="532" t="s">
        <v>721</v>
      </c>
      <c r="L270" s="1248" t="s">
        <v>1375</v>
      </c>
      <c r="M270" s="1249"/>
      <c r="N270" s="1249"/>
      <c r="O270" s="1249"/>
      <c r="P270" s="1250"/>
      <c r="Q270" s="590"/>
      <c r="R270" s="1093" t="s">
        <v>1095</v>
      </c>
      <c r="S270" s="575"/>
      <c r="T270" s="589">
        <f t="shared" si="7"/>
        <v>0</v>
      </c>
      <c r="U270" s="589">
        <f t="shared" si="7"/>
        <v>0</v>
      </c>
      <c r="V270" s="589">
        <f>IF($R270="ja",$S270*1,IF($R270="neen","0,00 m²",IF($R270="à encoder","/")))</f>
        <v>0</v>
      </c>
      <c r="W270" s="1155"/>
      <c r="X270" s="1155"/>
      <c r="Y270" s="1155"/>
      <c r="Z270" s="1155"/>
      <c r="AA270" s="1471"/>
      <c r="AB270" s="485"/>
      <c r="AC270" s="1114"/>
      <c r="AE270" s="580" t="s">
        <v>700</v>
      </c>
      <c r="AF270" s="609">
        <v>1</v>
      </c>
      <c r="AG270" s="538" t="s">
        <v>710</v>
      </c>
      <c r="AH270" s="580" t="s">
        <v>739</v>
      </c>
      <c r="AI270" s="608">
        <v>1</v>
      </c>
      <c r="AJ270" s="538" t="s">
        <v>1095</v>
      </c>
      <c r="AK270" s="580" t="s">
        <v>719</v>
      </c>
      <c r="AL270" s="538" t="s">
        <v>1149</v>
      </c>
    </row>
    <row r="271" spans="1:38" ht="15.75" customHeight="1" thickBot="1">
      <c r="A271" s="1114"/>
      <c r="B271" s="1114"/>
      <c r="C271" s="1114"/>
      <c r="D271" s="488"/>
      <c r="E271" s="1243"/>
      <c r="F271" s="1243"/>
      <c r="G271" s="1243"/>
      <c r="H271" s="1243"/>
      <c r="I271" s="1237"/>
      <c r="J271" s="1246"/>
      <c r="K271" s="532" t="s">
        <v>718</v>
      </c>
      <c r="L271" s="1248" t="s">
        <v>1392</v>
      </c>
      <c r="M271" s="1249"/>
      <c r="N271" s="1249"/>
      <c r="O271" s="1249"/>
      <c r="P271" s="1250"/>
      <c r="Q271" s="590"/>
      <c r="R271" s="1093" t="s">
        <v>1095</v>
      </c>
      <c r="S271" s="575"/>
      <c r="T271" s="589">
        <f t="shared" si="7"/>
        <v>0</v>
      </c>
      <c r="U271" s="589">
        <f t="shared" si="7"/>
        <v>0</v>
      </c>
      <c r="V271" s="589">
        <f>IF($R271="ja",$S271*0.5,IF($R271="neen","0,00 m²",IF($R271="à encoder","/")))</f>
        <v>0</v>
      </c>
      <c r="W271" s="1155"/>
      <c r="X271" s="1155"/>
      <c r="Y271" s="1155"/>
      <c r="Z271" s="1155"/>
      <c r="AA271" s="1471"/>
      <c r="AB271" s="485"/>
      <c r="AC271" s="1114"/>
      <c r="AF271" s="579" t="s">
        <v>697</v>
      </c>
      <c r="AG271" s="567" t="s">
        <v>686</v>
      </c>
      <c r="AI271" s="608">
        <v>1</v>
      </c>
      <c r="AJ271" s="538" t="s">
        <v>1095</v>
      </c>
      <c r="AL271" s="567" t="s">
        <v>1150</v>
      </c>
    </row>
    <row r="272" spans="1:38" ht="15.75" customHeight="1" thickBot="1">
      <c r="A272" s="1114"/>
      <c r="B272" s="1114"/>
      <c r="C272" s="1114"/>
      <c r="D272" s="488"/>
      <c r="E272" s="1243"/>
      <c r="F272" s="1243"/>
      <c r="G272" s="1243"/>
      <c r="H272" s="1243"/>
      <c r="I272" s="1237"/>
      <c r="J272" s="1246"/>
      <c r="K272" s="532" t="s">
        <v>716</v>
      </c>
      <c r="L272" s="1248" t="s">
        <v>1376</v>
      </c>
      <c r="M272" s="1249"/>
      <c r="N272" s="1249"/>
      <c r="O272" s="1249"/>
      <c r="P272" s="1250"/>
      <c r="Q272" s="590"/>
      <c r="R272" s="1093" t="s">
        <v>1096</v>
      </c>
      <c r="S272" s="575"/>
      <c r="T272" s="589" t="str">
        <f t="shared" si="7"/>
        <v>0,00 m²</v>
      </c>
      <c r="U272" s="589" t="str">
        <f t="shared" si="7"/>
        <v>0,00 m²</v>
      </c>
      <c r="V272" s="589" t="str">
        <f>IF($R272="ja",$S272*0.5,IF($R272="neen","0,00 m²",IF($R272="à encoder","/")))</f>
        <v>0,00 m²</v>
      </c>
      <c r="W272" s="1155"/>
      <c r="X272" s="1155"/>
      <c r="Y272" s="1155"/>
      <c r="Z272" s="1155"/>
      <c r="AA272" s="1471"/>
      <c r="AB272" s="485"/>
      <c r="AC272" s="1114"/>
      <c r="AF272" s="609">
        <v>1</v>
      </c>
      <c r="AG272" s="538" t="s">
        <v>710</v>
      </c>
      <c r="AI272" s="608">
        <v>1</v>
      </c>
      <c r="AJ272" s="538" t="s">
        <v>1095</v>
      </c>
      <c r="AL272" s="567" t="s">
        <v>1150</v>
      </c>
    </row>
    <row r="273" spans="1:38" ht="15.75" customHeight="1" thickBot="1">
      <c r="A273" s="1114"/>
      <c r="B273" s="1114"/>
      <c r="C273" s="1114"/>
      <c r="D273" s="488"/>
      <c r="E273" s="1243"/>
      <c r="F273" s="1243"/>
      <c r="G273" s="1243"/>
      <c r="H273" s="1243"/>
      <c r="I273" s="1237"/>
      <c r="J273" s="1246"/>
      <c r="K273" s="532" t="s">
        <v>714</v>
      </c>
      <c r="L273" s="1248" t="s">
        <v>1377</v>
      </c>
      <c r="M273" s="1249"/>
      <c r="N273" s="1249"/>
      <c r="O273" s="1249"/>
      <c r="P273" s="1250"/>
      <c r="Q273" s="590"/>
      <c r="R273" s="1093" t="s">
        <v>1096</v>
      </c>
      <c r="S273" s="528"/>
      <c r="T273" s="589"/>
      <c r="U273" s="589"/>
      <c r="V273" s="589"/>
      <c r="W273" s="555"/>
      <c r="X273" s="555"/>
      <c r="Y273" s="555"/>
      <c r="Z273" s="555"/>
      <c r="AA273" s="611"/>
      <c r="AB273" s="485"/>
      <c r="AC273" s="1114"/>
      <c r="AF273" s="475"/>
      <c r="AG273" s="538" t="s">
        <v>710</v>
      </c>
      <c r="AI273" s="608"/>
      <c r="AJ273" s="538" t="s">
        <v>738</v>
      </c>
      <c r="AL273" s="610"/>
    </row>
    <row r="274" spans="1:38" ht="15.75" customHeight="1" thickBot="1">
      <c r="A274" s="1114"/>
      <c r="B274" s="1114"/>
      <c r="C274" s="1114"/>
      <c r="D274" s="488"/>
      <c r="E274" s="1243"/>
      <c r="F274" s="1243"/>
      <c r="G274" s="1243"/>
      <c r="H274" s="1243"/>
      <c r="I274" s="1237"/>
      <c r="J274" s="1246"/>
      <c r="K274" s="532" t="s">
        <v>713</v>
      </c>
      <c r="L274" s="1248" t="s">
        <v>1378</v>
      </c>
      <c r="M274" s="1249"/>
      <c r="N274" s="1249"/>
      <c r="O274" s="1249"/>
      <c r="P274" s="1250"/>
      <c r="Q274" s="590"/>
      <c r="R274" s="1093" t="s">
        <v>1096</v>
      </c>
      <c r="S274" s="575">
        <v>0</v>
      </c>
      <c r="T274" s="589" t="str">
        <f>IF($R274="ja",$S274*1,IF($R274="neen","0,00 m²",IF($R274="à encoder","/")))</f>
        <v>0,00 m²</v>
      </c>
      <c r="U274" s="589" t="str">
        <f>IF($R274="ja",$S274*1,IF($R274="neen","0,00 m²",IF($R274="à encoder","/")))</f>
        <v>0,00 m²</v>
      </c>
      <c r="V274" s="589" t="str">
        <f>IF($R274="ja",$S274*0.5,IF($R274="neen","0,00 m²",IF($R274="à encoder","/")))</f>
        <v>0,00 m²</v>
      </c>
      <c r="W274" s="1155" t="str">
        <f>IF(SUMIF(R274:R280,"ja",(S274:S280))&gt;($J$253),"Surface totale voiries lentes plus grande que la surface encodée dans les caractéristiques physiques du site","")</f>
        <v/>
      </c>
      <c r="X274" s="1155"/>
      <c r="Y274" s="1155"/>
      <c r="Z274" s="1155"/>
      <c r="AA274" s="1471">
        <f>SUMIF(R274:R280,"ja",(S274:S280))/($J$253)</f>
        <v>1</v>
      </c>
      <c r="AB274" s="485"/>
      <c r="AC274" s="1114"/>
      <c r="AF274" s="579" t="s">
        <v>697</v>
      </c>
      <c r="AG274" s="538" t="s">
        <v>723</v>
      </c>
      <c r="AI274" s="608">
        <v>1</v>
      </c>
      <c r="AJ274" s="538" t="s">
        <v>1095</v>
      </c>
      <c r="AL274" s="594" t="s">
        <v>1148</v>
      </c>
    </row>
    <row r="275" spans="1:38" ht="15.75" customHeight="1" thickBot="1">
      <c r="A275" s="1114"/>
      <c r="B275" s="1114"/>
      <c r="C275" s="1114"/>
      <c r="D275" s="488"/>
      <c r="E275" s="1243"/>
      <c r="F275" s="1243"/>
      <c r="G275" s="1243"/>
      <c r="H275" s="1243"/>
      <c r="I275" s="1237"/>
      <c r="J275" s="1246"/>
      <c r="K275" s="532" t="s">
        <v>712</v>
      </c>
      <c r="L275" s="1248" t="s">
        <v>1379</v>
      </c>
      <c r="M275" s="1249"/>
      <c r="N275" s="1249"/>
      <c r="O275" s="1249"/>
      <c r="P275" s="1250"/>
      <c r="Q275" s="590"/>
      <c r="R275" s="1093" t="s">
        <v>1096</v>
      </c>
      <c r="S275" s="575">
        <v>1</v>
      </c>
      <c r="T275" s="589" t="str">
        <f>IF($R275="ja",$S275*0.75,IF($R275="neen","0,00 m²",IF($R275="à encoder","/")))</f>
        <v>0,00 m²</v>
      </c>
      <c r="U275" s="589" t="str">
        <f>IF($R275="ja",$S275*1,IF($R275="neen","0,00 m²",IF($R275="à encoder","/")))</f>
        <v>0,00 m²</v>
      </c>
      <c r="V275" s="589" t="str">
        <f>IF($R275="ja",$S275*0,IF($R275="neen","0,00 m²",IF($R275="à encoder","/")))</f>
        <v>0,00 m²</v>
      </c>
      <c r="W275" s="1155"/>
      <c r="X275" s="1155"/>
      <c r="Y275" s="1155"/>
      <c r="Z275" s="1155"/>
      <c r="AA275" s="1471"/>
      <c r="AB275" s="485"/>
      <c r="AC275" s="1114"/>
      <c r="AF275" s="593" t="s">
        <v>720</v>
      </c>
      <c r="AG275" s="538" t="s">
        <v>689</v>
      </c>
      <c r="AI275" s="608">
        <v>1</v>
      </c>
      <c r="AJ275" s="538" t="s">
        <v>1095</v>
      </c>
      <c r="AL275" s="591">
        <v>0</v>
      </c>
    </row>
    <row r="276" spans="1:38" ht="15.75" customHeight="1" thickBot="1">
      <c r="A276" s="1114"/>
      <c r="B276" s="1114"/>
      <c r="C276" s="1114"/>
      <c r="D276" s="488"/>
      <c r="E276" s="1243"/>
      <c r="F276" s="1243"/>
      <c r="G276" s="1243"/>
      <c r="H276" s="1243"/>
      <c r="I276" s="1237"/>
      <c r="J276" s="1246"/>
      <c r="K276" s="532" t="s">
        <v>711</v>
      </c>
      <c r="L276" s="1248" t="s">
        <v>1380</v>
      </c>
      <c r="M276" s="1249"/>
      <c r="N276" s="1249"/>
      <c r="O276" s="1249"/>
      <c r="P276" s="1250"/>
      <c r="Q276" s="590"/>
      <c r="R276" s="1093" t="s">
        <v>1096</v>
      </c>
      <c r="S276" s="575">
        <v>1</v>
      </c>
      <c r="T276" s="589" t="str">
        <f>IF($R276="ja",$S276*0.5,IF($R276="neen","0,00 m²",IF($R276="à encoder","/")))</f>
        <v>0,00 m²</v>
      </c>
      <c r="U276" s="589" t="str">
        <f>IF($R276="ja",$S276*0,IF($R276="neen","0,00 m²",IF($R276="à encoder","/")))</f>
        <v>0,00 m²</v>
      </c>
      <c r="V276" s="589" t="str">
        <f>IF($R276="ja",$S276*0,IF($R276="neen","0,00 m²",IF($R276="à encoder","/")))</f>
        <v>0,00 m²</v>
      </c>
      <c r="W276" s="1155"/>
      <c r="X276" s="1155"/>
      <c r="Y276" s="1155"/>
      <c r="Z276" s="1155"/>
      <c r="AA276" s="1471"/>
      <c r="AB276" s="485"/>
      <c r="AC276" s="1114"/>
      <c r="AF276" s="568" t="s">
        <v>692</v>
      </c>
      <c r="AG276" s="538" t="s">
        <v>717</v>
      </c>
      <c r="AI276" s="605">
        <v>0</v>
      </c>
      <c r="AJ276" s="576" t="s">
        <v>1096</v>
      </c>
      <c r="AL276" s="591">
        <v>0</v>
      </c>
    </row>
    <row r="277" spans="1:38" ht="15.75" customHeight="1" thickBot="1">
      <c r="A277" s="1114"/>
      <c r="B277" s="1114"/>
      <c r="C277" s="1114"/>
      <c r="D277" s="488"/>
      <c r="E277" s="1243"/>
      <c r="F277" s="1243"/>
      <c r="G277" s="1243"/>
      <c r="H277" s="1243"/>
      <c r="I277" s="1237"/>
      <c r="J277" s="1246"/>
      <c r="K277" s="532" t="s">
        <v>709</v>
      </c>
      <c r="L277" s="1248" t="s">
        <v>1381</v>
      </c>
      <c r="M277" s="1249"/>
      <c r="N277" s="1249"/>
      <c r="O277" s="1249"/>
      <c r="P277" s="1250"/>
      <c r="Q277" s="590"/>
      <c r="R277" s="1093" t="s">
        <v>1096</v>
      </c>
      <c r="S277" s="575">
        <v>1</v>
      </c>
      <c r="T277" s="589" t="str">
        <f>IF($R277="ja",$S277*0.5,IF($R277="neen","0,00 m²",IF($R277="à encoder","/")))</f>
        <v>0,00 m²</v>
      </c>
      <c r="U277" s="589" t="str">
        <f>IF($R277="ja",$S277*0,IF($R277="neen","0,00 m²",IF($R277="à encoder","/")))</f>
        <v>0,00 m²</v>
      </c>
      <c r="V277" s="589" t="str">
        <f>IF($R277="ja",$S277*0,IF($R277="neen","0,00 m²",IF($R277="à encoder","/")))</f>
        <v>0,00 m²</v>
      </c>
      <c r="W277" s="1155"/>
      <c r="X277" s="1155"/>
      <c r="Y277" s="1155"/>
      <c r="Z277" s="1155"/>
      <c r="AA277" s="1471"/>
      <c r="AB277" s="485"/>
      <c r="AC277" s="1114"/>
      <c r="AF277" s="568" t="s">
        <v>692</v>
      </c>
      <c r="AG277" s="538" t="s">
        <v>715</v>
      </c>
      <c r="AI277" s="605">
        <v>0</v>
      </c>
      <c r="AJ277" s="576" t="s">
        <v>1096</v>
      </c>
      <c r="AL277" s="591">
        <v>0</v>
      </c>
    </row>
    <row r="278" spans="1:38" ht="15.75" customHeight="1" thickBot="1">
      <c r="A278" s="1114"/>
      <c r="B278" s="1114"/>
      <c r="C278" s="1114"/>
      <c r="D278" s="488"/>
      <c r="E278" s="1243"/>
      <c r="F278" s="1243"/>
      <c r="G278" s="1243"/>
      <c r="H278" s="1243"/>
      <c r="I278" s="1237"/>
      <c r="J278" s="1246"/>
      <c r="K278" s="532" t="s">
        <v>737</v>
      </c>
      <c r="L278" s="1248" t="s">
        <v>1382</v>
      </c>
      <c r="M278" s="1249"/>
      <c r="N278" s="1249"/>
      <c r="O278" s="1249"/>
      <c r="P278" s="1250"/>
      <c r="Q278" s="590"/>
      <c r="R278" s="1093" t="s">
        <v>1096</v>
      </c>
      <c r="S278" s="575">
        <v>1</v>
      </c>
      <c r="T278" s="589" t="str">
        <f>IF($R278="ja",$S278*0.25,IF($R278="neen","0,00 m²",IF($R278="à encoder","/")))</f>
        <v>0,00 m²</v>
      </c>
      <c r="U278" s="589" t="str">
        <f>IF($R278="ja",$S278*0,IF($R278="neen","0,00 m²",IF($R278="à encoder","/")))</f>
        <v>0,00 m²</v>
      </c>
      <c r="V278" s="589" t="str">
        <f>IF($R278="ja",$S278*0.5,IF($R278="neen","0,00 m²",IF($R278="à encoder","/")))</f>
        <v>0,00 m²</v>
      </c>
      <c r="W278" s="1155"/>
      <c r="X278" s="1155"/>
      <c r="Y278" s="1155"/>
      <c r="Z278" s="1155"/>
      <c r="AA278" s="1471"/>
      <c r="AB278" s="485"/>
      <c r="AC278" s="1114"/>
      <c r="AF278" s="577" t="s">
        <v>687</v>
      </c>
      <c r="AG278" s="538" t="s">
        <v>686</v>
      </c>
      <c r="AI278" s="605">
        <v>0</v>
      </c>
      <c r="AJ278" s="576" t="s">
        <v>1096</v>
      </c>
      <c r="AL278" s="567" t="s">
        <v>1150</v>
      </c>
    </row>
    <row r="279" spans="1:38" ht="15.75" customHeight="1" thickBot="1">
      <c r="A279" s="1114"/>
      <c r="B279" s="1114"/>
      <c r="C279" s="1114"/>
      <c r="D279" s="488"/>
      <c r="E279" s="1243"/>
      <c r="F279" s="1243"/>
      <c r="G279" s="1243"/>
      <c r="H279" s="1243"/>
      <c r="I279" s="1237"/>
      <c r="J279" s="1246"/>
      <c r="K279" s="532" t="s">
        <v>736</v>
      </c>
      <c r="L279" s="1248" t="s">
        <v>1383</v>
      </c>
      <c r="M279" s="1249"/>
      <c r="N279" s="1249"/>
      <c r="O279" s="1249"/>
      <c r="P279" s="1250"/>
      <c r="Q279" s="590"/>
      <c r="R279" s="1093" t="s">
        <v>1095</v>
      </c>
      <c r="S279" s="575">
        <v>100</v>
      </c>
      <c r="T279" s="589">
        <f>IF($R279="ja",$S279*0.25,IF($R279="neen","0,00 m²",IF($R279="à encoder","/")))</f>
        <v>25</v>
      </c>
      <c r="U279" s="589">
        <f>IF($R279="ja",$S279*0,IF($R279="neen","0,00 m²",IF($R279="à encoder","/")))</f>
        <v>0</v>
      </c>
      <c r="V279" s="589">
        <f>IF($R279="ja",$S279*0.5,IF($R279="neen","0,00 m²",IF($R279="à encoder","/")))</f>
        <v>50</v>
      </c>
      <c r="W279" s="1155"/>
      <c r="X279" s="1155"/>
      <c r="Y279" s="1155"/>
      <c r="Z279" s="1155"/>
      <c r="AA279" s="1471"/>
      <c r="AB279" s="485"/>
      <c r="AC279" s="1114"/>
      <c r="AF279" s="577" t="s">
        <v>687</v>
      </c>
      <c r="AG279" s="538" t="s">
        <v>686</v>
      </c>
      <c r="AI279" s="605">
        <v>0</v>
      </c>
      <c r="AJ279" s="576" t="s">
        <v>1096</v>
      </c>
      <c r="AL279" s="567" t="s">
        <v>1150</v>
      </c>
    </row>
    <row r="280" spans="1:38" ht="15.75" customHeight="1" thickBot="1">
      <c r="A280" s="1114"/>
      <c r="B280" s="1114"/>
      <c r="C280" s="1114"/>
      <c r="D280" s="488"/>
      <c r="E280" s="1243"/>
      <c r="F280" s="1243"/>
      <c r="G280" s="1243"/>
      <c r="H280" s="1243"/>
      <c r="I280" s="1237"/>
      <c r="J280" s="1246"/>
      <c r="K280" s="532" t="s">
        <v>735</v>
      </c>
      <c r="L280" s="1248" t="s">
        <v>1384</v>
      </c>
      <c r="M280" s="1249"/>
      <c r="N280" s="1249"/>
      <c r="O280" s="1249"/>
      <c r="P280" s="1250"/>
      <c r="Q280" s="590"/>
      <c r="R280" s="1093" t="s">
        <v>1095</v>
      </c>
      <c r="S280" s="575">
        <v>0</v>
      </c>
      <c r="T280" s="589">
        <f t="shared" ref="T280:V281" si="8">IF($R280="ja",$S280*1,IF($R280="neen","0,00 m²",IF($R280="à encoder","/")))</f>
        <v>0</v>
      </c>
      <c r="U280" s="589">
        <f t="shared" si="8"/>
        <v>0</v>
      </c>
      <c r="V280" s="589">
        <f t="shared" si="8"/>
        <v>0</v>
      </c>
      <c r="W280" s="1155"/>
      <c r="X280" s="1155"/>
      <c r="Y280" s="1155"/>
      <c r="Z280" s="1155"/>
      <c r="AA280" s="1471"/>
      <c r="AB280" s="485"/>
      <c r="AC280" s="1114"/>
      <c r="AF280" s="609">
        <v>1</v>
      </c>
      <c r="AG280" s="538" t="s">
        <v>734</v>
      </c>
      <c r="AI280" s="608">
        <v>1</v>
      </c>
      <c r="AJ280" s="538" t="s">
        <v>1095</v>
      </c>
      <c r="AL280" s="538" t="s">
        <v>1149</v>
      </c>
    </row>
    <row r="281" spans="1:38" ht="15.75" customHeight="1" thickBot="1">
      <c r="A281" s="1114"/>
      <c r="B281" s="1114"/>
      <c r="C281" s="1114"/>
      <c r="D281" s="488"/>
      <c r="E281" s="1243"/>
      <c r="F281" s="1243"/>
      <c r="G281" s="1243"/>
      <c r="H281" s="1243"/>
      <c r="I281" s="1237"/>
      <c r="J281" s="1246"/>
      <c r="K281" s="532" t="s">
        <v>733</v>
      </c>
      <c r="L281" s="1248" t="s">
        <v>1385</v>
      </c>
      <c r="M281" s="1249"/>
      <c r="N281" s="1249"/>
      <c r="O281" s="1249"/>
      <c r="P281" s="1250"/>
      <c r="Q281" s="590"/>
      <c r="R281" s="1093" t="s">
        <v>1095</v>
      </c>
      <c r="S281" s="575">
        <v>0</v>
      </c>
      <c r="T281" s="589">
        <f t="shared" si="8"/>
        <v>0</v>
      </c>
      <c r="U281" s="589">
        <f t="shared" si="8"/>
        <v>0</v>
      </c>
      <c r="V281" s="589">
        <f t="shared" si="8"/>
        <v>0</v>
      </c>
      <c r="W281" s="1155" t="str">
        <f>IF(SUMIF(R281:R287,"ja",(S281:S287))&gt;($J$257),"Surface totale sentiers piétons plus grande que la surface encodée dans les caractéristiques physiques du site","")</f>
        <v/>
      </c>
      <c r="X281" s="1155"/>
      <c r="Y281" s="1155"/>
      <c r="Z281" s="1155"/>
      <c r="AA281" s="1471">
        <f>SUMIF(R281:R287,"ja",(S281:S287))/($J$257)</f>
        <v>1</v>
      </c>
      <c r="AB281" s="485"/>
      <c r="AC281" s="1114"/>
      <c r="AF281" s="579" t="s">
        <v>697</v>
      </c>
      <c r="AG281" s="538" t="s">
        <v>699</v>
      </c>
      <c r="AI281" s="608">
        <v>1</v>
      </c>
      <c r="AJ281" s="538" t="s">
        <v>1095</v>
      </c>
      <c r="AL281" s="538" t="s">
        <v>1149</v>
      </c>
    </row>
    <row r="282" spans="1:38" ht="15.75" customHeight="1" thickBot="1">
      <c r="A282" s="1114"/>
      <c r="B282" s="1114"/>
      <c r="C282" s="1114"/>
      <c r="D282" s="488"/>
      <c r="E282" s="1243"/>
      <c r="F282" s="1243"/>
      <c r="G282" s="1243"/>
      <c r="H282" s="1243"/>
      <c r="I282" s="1237"/>
      <c r="J282" s="1246"/>
      <c r="K282" s="532" t="s">
        <v>732</v>
      </c>
      <c r="L282" s="1248" t="s">
        <v>1386</v>
      </c>
      <c r="M282" s="1249"/>
      <c r="N282" s="1249"/>
      <c r="O282" s="1249"/>
      <c r="P282" s="1250"/>
      <c r="Q282" s="590"/>
      <c r="R282" s="1093" t="s">
        <v>1095</v>
      </c>
      <c r="S282" s="575">
        <v>100</v>
      </c>
      <c r="T282" s="589">
        <f>IF($R282="ja",$S282*0.75,IF($R282="neen","0,00 m²",IF($R282="à encoder","/")))</f>
        <v>75</v>
      </c>
      <c r="U282" s="589">
        <f>IF($R282="ja",$S282*1,IF($R282="neen","0,00 m²",IF($R282="à encoder","/")))</f>
        <v>100</v>
      </c>
      <c r="V282" s="589">
        <f>IF($R282="ja",$S282*0.5,IF($R282="neen","0,00 m²",IF($R282="à encoder","/")))</f>
        <v>50</v>
      </c>
      <c r="W282" s="1155"/>
      <c r="X282" s="1155"/>
      <c r="Y282" s="1155"/>
      <c r="Z282" s="1155"/>
      <c r="AA282" s="1471"/>
      <c r="AB282" s="485"/>
      <c r="AC282" s="1114"/>
      <c r="AF282" s="593" t="s">
        <v>720</v>
      </c>
      <c r="AG282" s="538" t="s">
        <v>723</v>
      </c>
      <c r="AI282" s="608">
        <v>1</v>
      </c>
      <c r="AJ282" s="538" t="s">
        <v>1095</v>
      </c>
      <c r="AL282" s="567" t="s">
        <v>1150</v>
      </c>
    </row>
    <row r="283" spans="1:38" ht="15.75" customHeight="1" thickBot="1">
      <c r="A283" s="1114"/>
      <c r="B283" s="1114"/>
      <c r="C283" s="1114"/>
      <c r="D283" s="488"/>
      <c r="E283" s="1243"/>
      <c r="F283" s="1243"/>
      <c r="G283" s="1243"/>
      <c r="H283" s="1243"/>
      <c r="I283" s="1237"/>
      <c r="J283" s="1246"/>
      <c r="K283" s="532" t="s">
        <v>731</v>
      </c>
      <c r="L283" s="1248" t="s">
        <v>1387</v>
      </c>
      <c r="M283" s="1249"/>
      <c r="N283" s="1249"/>
      <c r="O283" s="1249"/>
      <c r="P283" s="1250"/>
      <c r="Q283" s="590"/>
      <c r="R283" s="1093" t="s">
        <v>1095</v>
      </c>
      <c r="S283" s="575">
        <v>0</v>
      </c>
      <c r="T283" s="589">
        <f>IF($R283="ja",$S283*0.75,IF($R283="neen","0,00 m²",IF($R283="à encoder","/")))</f>
        <v>0</v>
      </c>
      <c r="U283" s="589">
        <f t="shared" ref="U283:V285" si="9">IF($R283="ja",$S283*0,IF($R283="neen","0,00 m²",IF($R283="à encoder","/")))</f>
        <v>0</v>
      </c>
      <c r="V283" s="589">
        <f t="shared" si="9"/>
        <v>0</v>
      </c>
      <c r="W283" s="1155"/>
      <c r="X283" s="1155"/>
      <c r="Y283" s="1155"/>
      <c r="Z283" s="1155"/>
      <c r="AA283" s="1471"/>
      <c r="AB283" s="485"/>
      <c r="AC283" s="1114"/>
      <c r="AF283" s="593" t="s">
        <v>720</v>
      </c>
      <c r="AG283" s="538" t="s">
        <v>689</v>
      </c>
      <c r="AI283" s="605">
        <v>0</v>
      </c>
      <c r="AJ283" s="576" t="s">
        <v>1096</v>
      </c>
      <c r="AL283" s="591">
        <v>0</v>
      </c>
    </row>
    <row r="284" spans="1:38" ht="15.75" customHeight="1" thickBot="1">
      <c r="A284" s="1114"/>
      <c r="B284" s="1114"/>
      <c r="C284" s="1114"/>
      <c r="D284" s="488"/>
      <c r="E284" s="1243"/>
      <c r="F284" s="1243"/>
      <c r="G284" s="1243"/>
      <c r="H284" s="1243"/>
      <c r="I284" s="1237"/>
      <c r="J284" s="1246"/>
      <c r="K284" s="532" t="s">
        <v>730</v>
      </c>
      <c r="L284" s="1248" t="s">
        <v>1388</v>
      </c>
      <c r="M284" s="1249"/>
      <c r="N284" s="1249"/>
      <c r="O284" s="1249"/>
      <c r="P284" s="1250"/>
      <c r="Q284" s="590"/>
      <c r="R284" s="1093" t="s">
        <v>1095</v>
      </c>
      <c r="S284" s="575">
        <v>0</v>
      </c>
      <c r="T284" s="589">
        <f>IF($R284="ja",$S284*0.5,IF($R284="neen","0,00 m²",IF($R284="à encoder","/")))</f>
        <v>0</v>
      </c>
      <c r="U284" s="589">
        <f t="shared" si="9"/>
        <v>0</v>
      </c>
      <c r="V284" s="589">
        <f t="shared" si="9"/>
        <v>0</v>
      </c>
      <c r="W284" s="1155"/>
      <c r="X284" s="1155"/>
      <c r="Y284" s="1155"/>
      <c r="Z284" s="1155"/>
      <c r="AA284" s="1471"/>
      <c r="AB284" s="485"/>
      <c r="AC284" s="1114"/>
      <c r="AD284" s="601"/>
      <c r="AF284" s="568" t="s">
        <v>692</v>
      </c>
      <c r="AG284" s="538" t="s">
        <v>717</v>
      </c>
      <c r="AI284" s="605">
        <v>0</v>
      </c>
      <c r="AJ284" s="576" t="s">
        <v>1096</v>
      </c>
      <c r="AL284" s="591">
        <v>0</v>
      </c>
    </row>
    <row r="285" spans="1:38" ht="15.75" customHeight="1" thickBot="1">
      <c r="A285" s="1114"/>
      <c r="B285" s="1114"/>
      <c r="C285" s="1114"/>
      <c r="D285" s="488"/>
      <c r="E285" s="1243"/>
      <c r="F285" s="1243"/>
      <c r="G285" s="1243"/>
      <c r="H285" s="1243"/>
      <c r="I285" s="1237"/>
      <c r="J285" s="1246"/>
      <c r="K285" s="532" t="s">
        <v>729</v>
      </c>
      <c r="L285" s="1248" t="s">
        <v>1389</v>
      </c>
      <c r="M285" s="1249"/>
      <c r="N285" s="1249"/>
      <c r="O285" s="1249"/>
      <c r="P285" s="1250"/>
      <c r="Q285" s="590"/>
      <c r="R285" s="1093" t="s">
        <v>1096</v>
      </c>
      <c r="S285" s="575">
        <v>100</v>
      </c>
      <c r="T285" s="589" t="str">
        <f>IF($R285="ja",$S285*0.5,IF($R285="neen","0,00 m²",IF($R285="à encoder","/")))</f>
        <v>0,00 m²</v>
      </c>
      <c r="U285" s="589" t="str">
        <f t="shared" si="9"/>
        <v>0,00 m²</v>
      </c>
      <c r="V285" s="589" t="str">
        <f t="shared" si="9"/>
        <v>0,00 m²</v>
      </c>
      <c r="W285" s="1155"/>
      <c r="X285" s="1155"/>
      <c r="Y285" s="1155"/>
      <c r="Z285" s="1155"/>
      <c r="AA285" s="1471"/>
      <c r="AB285" s="485"/>
      <c r="AC285" s="1114"/>
      <c r="AD285" s="601"/>
      <c r="AF285" s="568" t="s">
        <v>692</v>
      </c>
      <c r="AG285" s="538" t="s">
        <v>715</v>
      </c>
      <c r="AI285" s="605">
        <v>0</v>
      </c>
      <c r="AJ285" s="576" t="s">
        <v>1096</v>
      </c>
      <c r="AL285" s="591">
        <v>0</v>
      </c>
    </row>
    <row r="286" spans="1:38" ht="15.75" customHeight="1" thickBot="1">
      <c r="A286" s="1114"/>
      <c r="B286" s="1114"/>
      <c r="C286" s="1114"/>
      <c r="D286" s="488"/>
      <c r="E286" s="1243"/>
      <c r="F286" s="1243"/>
      <c r="G286" s="1243"/>
      <c r="H286" s="1243"/>
      <c r="I286" s="1237"/>
      <c r="J286" s="1246"/>
      <c r="K286" s="532" t="s">
        <v>728</v>
      </c>
      <c r="L286" s="1248" t="s">
        <v>1390</v>
      </c>
      <c r="M286" s="1249"/>
      <c r="N286" s="1249"/>
      <c r="O286" s="1249"/>
      <c r="P286" s="1250"/>
      <c r="Q286" s="590"/>
      <c r="R286" s="1093" t="s">
        <v>1095</v>
      </c>
      <c r="S286" s="575">
        <v>0</v>
      </c>
      <c r="T286" s="589">
        <f>IF($R286="ja",$S286*0.25,IF($R286="neen","0,00 m²",IF($R286="à encoder","/")))</f>
        <v>0</v>
      </c>
      <c r="U286" s="589">
        <f>IF($R286="ja",$S286*0,IF($R286="neen","0,00 m²",IF($R286="à encoder","/")))</f>
        <v>0</v>
      </c>
      <c r="V286" s="589">
        <f>IF($R286="ja",$S286*0.5,IF($R286="neen","0,00 m²",IF($R286="à encoder","/")))</f>
        <v>0</v>
      </c>
      <c r="W286" s="523" t="s">
        <v>665</v>
      </c>
      <c r="X286" s="523" t="s">
        <v>664</v>
      </c>
      <c r="Y286" s="523" t="s">
        <v>663</v>
      </c>
      <c r="Z286" s="523" t="s">
        <v>662</v>
      </c>
      <c r="AA286" s="607"/>
      <c r="AB286" s="485"/>
      <c r="AC286" s="1114"/>
      <c r="AD286" s="606"/>
      <c r="AF286" s="577" t="s">
        <v>687</v>
      </c>
      <c r="AG286" s="538" t="s">
        <v>686</v>
      </c>
      <c r="AI286" s="605">
        <v>0</v>
      </c>
      <c r="AJ286" s="576" t="s">
        <v>1096</v>
      </c>
      <c r="AL286" s="567" t="s">
        <v>1150</v>
      </c>
    </row>
    <row r="287" spans="1:38" ht="15.75" customHeight="1" thickBot="1">
      <c r="A287" s="1114"/>
      <c r="B287" s="1114"/>
      <c r="C287" s="1114"/>
      <c r="D287" s="488"/>
      <c r="E287" s="1252"/>
      <c r="F287" s="1252"/>
      <c r="G287" s="1252"/>
      <c r="H287" s="1252"/>
      <c r="I287" s="1272"/>
      <c r="J287" s="1247"/>
      <c r="K287" s="532" t="s">
        <v>727</v>
      </c>
      <c r="L287" s="1248" t="s">
        <v>1391</v>
      </c>
      <c r="M287" s="1249"/>
      <c r="N287" s="1249"/>
      <c r="O287" s="1249"/>
      <c r="P287" s="1250"/>
      <c r="Q287" s="590"/>
      <c r="R287" s="1093" t="s">
        <v>1095</v>
      </c>
      <c r="S287" s="575">
        <v>100</v>
      </c>
      <c r="T287" s="589">
        <f>IF($R287="ja",$S287*0.25,IF($R287="neen","0,00 m²",IF($R287="à encoder","/")))</f>
        <v>25</v>
      </c>
      <c r="U287" s="589">
        <f>IF($R287="ja",$S287*0,IF($R287="neen","0,00 m²",IF($R287="à encoder","/")))</f>
        <v>0</v>
      </c>
      <c r="V287" s="589">
        <f>IF($R287="ja",$S287*0.5,IF($R287="neen","0,00 m²",IF($R287="à encoder","/")))</f>
        <v>50</v>
      </c>
      <c r="W287" s="1202">
        <f>IF(S289="/","/",1-S289/S288)</f>
        <v>0.5</v>
      </c>
      <c r="X287" s="1202"/>
      <c r="Y287" s="1202"/>
      <c r="Z287" s="555"/>
      <c r="AA287" s="530" t="s">
        <v>391</v>
      </c>
      <c r="AB287" s="485"/>
      <c r="AC287" s="1114"/>
      <c r="AD287" s="601"/>
      <c r="AF287" s="577" t="s">
        <v>687</v>
      </c>
      <c r="AG287" s="538" t="s">
        <v>686</v>
      </c>
      <c r="AI287" s="605">
        <v>0</v>
      </c>
      <c r="AJ287" s="576" t="s">
        <v>1096</v>
      </c>
      <c r="AL287" s="567" t="s">
        <v>1150</v>
      </c>
    </row>
    <row r="288" spans="1:38" ht="15.75" customHeight="1" thickBot="1">
      <c r="A288" s="1114"/>
      <c r="B288" s="1114"/>
      <c r="C288" s="1114"/>
      <c r="D288" s="488"/>
      <c r="E288" s="604" t="s">
        <v>1121</v>
      </c>
      <c r="F288" s="604" t="s">
        <v>1122</v>
      </c>
      <c r="G288" s="604" t="s">
        <v>674</v>
      </c>
      <c r="H288" s="604" t="s">
        <v>1500</v>
      </c>
      <c r="I288" s="1125" t="s">
        <v>726</v>
      </c>
      <c r="J288" s="1269" t="s">
        <v>1449</v>
      </c>
      <c r="K288" s="1270"/>
      <c r="L288" s="1270"/>
      <c r="M288" s="1270"/>
      <c r="N288" s="1270"/>
      <c r="O288" s="1270"/>
      <c r="P288" s="1271"/>
      <c r="Q288" s="590"/>
      <c r="R288" s="572"/>
      <c r="S288" s="588">
        <f>M247</f>
        <v>600</v>
      </c>
      <c r="T288" s="570"/>
      <c r="U288" s="555"/>
      <c r="V288" s="603"/>
      <c r="W288" s="587">
        <f>IF(W287="/","/",IF(ISERROR(W287)=TRUE,"/",IF(W287&gt;100%,"FAUX",(SUM(T269:T287)/S288))))</f>
        <v>0.20833333333333334</v>
      </c>
      <c r="X288" s="587">
        <f>IF(W287="/","/",IF(ISERROR(W287)=TRUE,"/",IF(W287&gt;100%,"FAUX",(SUM(U269:U287)/S288))))</f>
        <v>0.16666666666666666</v>
      </c>
      <c r="Y288" s="587">
        <f>IF(W287="/","/",IF(ISERROR(W218)=TRUE,"/",IF(W287&gt;100%,"FAUX",(SUM(V269:V287)/S288))))</f>
        <v>0.25</v>
      </c>
      <c r="Z288" s="602" t="str">
        <f>IF(R273="à encoder","/",R273)</f>
        <v>neen</v>
      </c>
      <c r="AA288" s="522">
        <f>IF(OR(W288="/",X288="/",Y288="/",Z288="/"),"/",IF(OR(W287&gt;100%,AA269&gt;100%,AA274&gt;100%,AA281&gt;100%),"/",IF(AND(($W288&gt;=90%),($X288&gt;=90%),($Y288&gt;=90%),(Z288="ja")),"4",IF(AND(($W288&gt;=75%),($X288&gt;=75%),($Y288&gt;=75%)),"3",IF(AND(($W288&gt;=50%),($X288&gt;=50%),($Y288&gt;=50%)),"2",IF(AND(($W288&gt;=25%),($X288&gt;=25%),($Y288&gt;=25%)),"1",0))))))</f>
        <v>0</v>
      </c>
      <c r="AB288" s="485"/>
      <c r="AC288" s="1114"/>
      <c r="AD288" s="601"/>
    </row>
    <row r="289" spans="1:37" ht="15" customHeight="1" thickBot="1">
      <c r="A289" s="1114"/>
      <c r="B289" s="1114"/>
      <c r="C289" s="1114"/>
      <c r="D289" s="488"/>
      <c r="E289" s="1218" t="s">
        <v>672</v>
      </c>
      <c r="F289" s="1218" t="s">
        <v>672</v>
      </c>
      <c r="G289" s="1218" t="s">
        <v>672</v>
      </c>
      <c r="H289" s="1218" t="s">
        <v>672</v>
      </c>
      <c r="I289" s="1451" t="s">
        <v>725</v>
      </c>
      <c r="J289" s="551" t="s">
        <v>1127</v>
      </c>
      <c r="K289" s="1267" t="s">
        <v>1450</v>
      </c>
      <c r="L289" s="1268"/>
      <c r="M289" s="550" t="s">
        <v>641</v>
      </c>
      <c r="N289" s="550" t="s">
        <v>639</v>
      </c>
      <c r="O289" s="550" t="s">
        <v>638</v>
      </c>
      <c r="P289" s="549" t="s">
        <v>636</v>
      </c>
      <c r="Q289" s="590"/>
      <c r="R289" s="566" t="s">
        <v>708</v>
      </c>
      <c r="S289" s="585">
        <f>IF(OR(R269="à encoder",R270="à encoder",R271="à encoder",R272="à encoder",R274="à encoder",R275="à encoder",R276="à encoder",R277="à encoder",R278="à encoder",R279="à encoder",R280="à encoder",R281="à encoder",R282="à encoder",R283="à encoder",R284="à encoder",R285="à encoder",R286="à encoder",R287="à encoder",),"/",S288-SUMIF(R269:R287,"ja",S269:S287))</f>
        <v>300</v>
      </c>
      <c r="T289" s="564"/>
      <c r="U289" s="584"/>
      <c r="V289" s="584"/>
      <c r="W289" s="519" t="s">
        <v>707</v>
      </c>
      <c r="X289" s="519" t="s">
        <v>1502</v>
      </c>
      <c r="Y289" s="519" t="s">
        <v>706</v>
      </c>
      <c r="Z289" s="519" t="s">
        <v>1503</v>
      </c>
      <c r="AA289" s="583"/>
      <c r="AB289" s="485"/>
      <c r="AC289" s="1114"/>
    </row>
    <row r="290" spans="1:37" ht="93" customHeight="1" thickBot="1">
      <c r="A290" s="1114"/>
      <c r="B290" s="1118"/>
      <c r="C290" s="1114"/>
      <c r="D290" s="488"/>
      <c r="E290" s="1243"/>
      <c r="F290" s="1243"/>
      <c r="G290" s="1243"/>
      <c r="H290" s="1243"/>
      <c r="I290" s="1452"/>
      <c r="J290" s="547" t="s">
        <v>1135</v>
      </c>
      <c r="K290" s="1160" t="s">
        <v>1451</v>
      </c>
      <c r="L290" s="1244"/>
      <c r="M290" s="614" t="s">
        <v>1452</v>
      </c>
      <c r="N290" s="600" t="s">
        <v>1453</v>
      </c>
      <c r="O290" s="614" t="s">
        <v>1454</v>
      </c>
      <c r="P290" s="600" t="s">
        <v>1455</v>
      </c>
      <c r="Q290" s="488"/>
      <c r="R290" s="515"/>
      <c r="S290" s="497"/>
      <c r="T290" s="599"/>
      <c r="U290" s="496"/>
      <c r="V290" s="598"/>
      <c r="W290" s="497"/>
      <c r="X290" s="497"/>
      <c r="Y290" s="497"/>
      <c r="Z290" s="497"/>
      <c r="AA290" s="497"/>
      <c r="AB290" s="485"/>
      <c r="AC290" s="1114"/>
    </row>
    <row r="291" spans="1:37" ht="15.75" customHeight="1" thickBot="1">
      <c r="A291" s="1114"/>
      <c r="B291" s="1114"/>
      <c r="C291" s="1114"/>
      <c r="D291" s="488"/>
      <c r="E291" s="1243"/>
      <c r="F291" s="1243"/>
      <c r="G291" s="1243"/>
      <c r="H291" s="1243"/>
      <c r="I291" s="1452"/>
      <c r="J291" s="1245" t="s">
        <v>1132</v>
      </c>
      <c r="K291" s="544" t="s">
        <v>724</v>
      </c>
      <c r="L291" s="1248" t="s">
        <v>1456</v>
      </c>
      <c r="M291" s="1249"/>
      <c r="N291" s="1249"/>
      <c r="O291" s="1249"/>
      <c r="P291" s="1250"/>
      <c r="Q291" s="590"/>
      <c r="R291" s="1093" t="s">
        <v>1096</v>
      </c>
      <c r="S291" s="597">
        <v>10</v>
      </c>
      <c r="T291" s="596" t="str">
        <f>IF($R291="ja",$S291*1,IF($R291="neen","0,00 m²",IF($R291="à encoder","/")))</f>
        <v>0,00 m²</v>
      </c>
      <c r="U291" s="596" t="str">
        <f>IF($R291="ja",$S291*0.5,IF($R291="neen","0,00 m²",IF($R291="à encoder","/")))</f>
        <v>0,00 m²</v>
      </c>
      <c r="V291" s="1154" t="str">
        <f>IF(S300&lt;0,"Surface totale zones de stationnement et/ou d'entreposage plus grande que la surface encodée dans les caractéristiques physiques du site","")</f>
        <v/>
      </c>
      <c r="W291" s="1154"/>
      <c r="X291" s="1154"/>
      <c r="Y291" s="1154"/>
      <c r="Z291" s="1154"/>
      <c r="AA291" s="595"/>
      <c r="AB291" s="485"/>
      <c r="AC291" s="1114"/>
      <c r="AE291" s="537" t="s">
        <v>702</v>
      </c>
      <c r="AF291" s="579" t="s">
        <v>697</v>
      </c>
      <c r="AG291" s="538" t="s">
        <v>723</v>
      </c>
      <c r="AH291" s="537" t="s">
        <v>722</v>
      </c>
      <c r="AI291" s="594" t="s">
        <v>1148</v>
      </c>
      <c r="AJ291" s="576"/>
      <c r="AK291" s="537"/>
    </row>
    <row r="292" spans="1:37" ht="15.75" customHeight="1" thickBot="1">
      <c r="A292" s="1114"/>
      <c r="B292" s="1114"/>
      <c r="C292" s="1114"/>
      <c r="D292" s="488"/>
      <c r="E292" s="1243"/>
      <c r="F292" s="1243"/>
      <c r="G292" s="1243"/>
      <c r="H292" s="1243"/>
      <c r="I292" s="1452"/>
      <c r="J292" s="1246"/>
      <c r="K292" s="532" t="s">
        <v>721</v>
      </c>
      <c r="L292" s="1248" t="s">
        <v>1457</v>
      </c>
      <c r="M292" s="1249"/>
      <c r="N292" s="1249"/>
      <c r="O292" s="1249"/>
      <c r="P292" s="1250"/>
      <c r="Q292" s="590"/>
      <c r="R292" s="1093" t="s">
        <v>1096</v>
      </c>
      <c r="S292" s="575">
        <v>200</v>
      </c>
      <c r="T292" s="589" t="str">
        <f>IF($R292="ja",$S292*0.75,IF($R292="neen","0,00 m²",IF($R292="à encoder","/")))</f>
        <v>0,00 m²</v>
      </c>
      <c r="U292" s="589" t="str">
        <f>IF($R292="ja",$S292*0,IF($R292="neen","0,00 m²",IF($R292="à encoder","/")))</f>
        <v>0,00 m²</v>
      </c>
      <c r="V292" s="1155"/>
      <c r="W292" s="1155"/>
      <c r="X292" s="1155"/>
      <c r="Y292" s="1155"/>
      <c r="Z292" s="1155"/>
      <c r="AA292" s="554"/>
      <c r="AB292" s="485"/>
      <c r="AC292" s="1114"/>
      <c r="AE292" s="580" t="s">
        <v>700</v>
      </c>
      <c r="AF292" s="593" t="s">
        <v>720</v>
      </c>
      <c r="AG292" s="592" t="s">
        <v>689</v>
      </c>
      <c r="AH292" s="580" t="s">
        <v>719</v>
      </c>
      <c r="AI292" s="591">
        <v>0</v>
      </c>
      <c r="AJ292" s="576"/>
    </row>
    <row r="293" spans="1:37" ht="15.75" customHeight="1" thickBot="1">
      <c r="A293" s="1114"/>
      <c r="B293" s="1114"/>
      <c r="C293" s="1114"/>
      <c r="D293" s="488"/>
      <c r="E293" s="1243"/>
      <c r="F293" s="1243"/>
      <c r="G293" s="1243"/>
      <c r="H293" s="1243"/>
      <c r="I293" s="1452"/>
      <c r="J293" s="1246"/>
      <c r="K293" s="532" t="s">
        <v>718</v>
      </c>
      <c r="L293" s="1248" t="s">
        <v>1458</v>
      </c>
      <c r="M293" s="1249"/>
      <c r="N293" s="1249"/>
      <c r="O293" s="1249"/>
      <c r="P293" s="1250"/>
      <c r="Q293" s="590"/>
      <c r="R293" s="1093" t="s">
        <v>1095</v>
      </c>
      <c r="S293" s="575">
        <v>300</v>
      </c>
      <c r="T293" s="589">
        <f>IF($R293="ja",$S293*0.5,IF($R293="neen","0,00 m²",IF($R293="à encoder","/")))</f>
        <v>150</v>
      </c>
      <c r="U293" s="589">
        <f>IF($R293="ja",$S293*0,IF($R293="neen","0,00 m²",IF($R293="à encoder","/")))</f>
        <v>0</v>
      </c>
      <c r="V293" s="1155"/>
      <c r="W293" s="1155"/>
      <c r="X293" s="1155"/>
      <c r="Y293" s="1155"/>
      <c r="Z293" s="1155"/>
      <c r="AA293" s="554"/>
      <c r="AB293" s="485"/>
      <c r="AC293" s="1114"/>
      <c r="AF293" s="568" t="s">
        <v>692</v>
      </c>
      <c r="AG293" s="567" t="s">
        <v>717</v>
      </c>
      <c r="AI293" s="591">
        <v>0</v>
      </c>
      <c r="AJ293" s="576"/>
    </row>
    <row r="294" spans="1:37" ht="15.75" customHeight="1" thickBot="1">
      <c r="A294" s="1114"/>
      <c r="B294" s="1114"/>
      <c r="C294" s="1114"/>
      <c r="D294" s="488"/>
      <c r="E294" s="1243"/>
      <c r="F294" s="1243"/>
      <c r="G294" s="1243"/>
      <c r="H294" s="1243"/>
      <c r="I294" s="1452"/>
      <c r="J294" s="1246"/>
      <c r="K294" s="532" t="s">
        <v>716</v>
      </c>
      <c r="L294" s="1248" t="s">
        <v>1459</v>
      </c>
      <c r="M294" s="1249"/>
      <c r="N294" s="1249"/>
      <c r="O294" s="1249"/>
      <c r="P294" s="1250"/>
      <c r="Q294" s="590"/>
      <c r="R294" s="1093" t="s">
        <v>1095</v>
      </c>
      <c r="S294" s="575">
        <v>300</v>
      </c>
      <c r="T294" s="589">
        <f>IF($R294="ja",$S294*0.5,IF($R294="neen","0,00 m²",IF($R294="à encoder","/")))</f>
        <v>150</v>
      </c>
      <c r="U294" s="589">
        <f>IF($R294="ja",$S294*0,IF($R294="neen","0,00 m²",IF($R294="à encoder","/")))</f>
        <v>0</v>
      </c>
      <c r="V294" s="1155"/>
      <c r="W294" s="1155"/>
      <c r="X294" s="1155"/>
      <c r="Y294" s="1155"/>
      <c r="Z294" s="1155"/>
      <c r="AA294" s="554"/>
      <c r="AB294" s="485"/>
      <c r="AC294" s="1114"/>
      <c r="AF294" s="568" t="s">
        <v>692</v>
      </c>
      <c r="AG294" s="567" t="s">
        <v>715</v>
      </c>
      <c r="AI294" s="591">
        <v>0</v>
      </c>
      <c r="AJ294" s="576"/>
    </row>
    <row r="295" spans="1:37" ht="15.75" customHeight="1" thickBot="1">
      <c r="A295" s="1114"/>
      <c r="B295" s="1114"/>
      <c r="C295" s="1114"/>
      <c r="D295" s="488"/>
      <c r="E295" s="1243"/>
      <c r="F295" s="1243"/>
      <c r="G295" s="1243"/>
      <c r="H295" s="1243"/>
      <c r="I295" s="1452"/>
      <c r="J295" s="1246"/>
      <c r="K295" s="532" t="s">
        <v>714</v>
      </c>
      <c r="L295" s="1248" t="s">
        <v>1460</v>
      </c>
      <c r="M295" s="1249"/>
      <c r="N295" s="1249"/>
      <c r="O295" s="1249"/>
      <c r="P295" s="1250"/>
      <c r="Q295" s="590"/>
      <c r="R295" s="1093" t="s">
        <v>1095</v>
      </c>
      <c r="S295" s="575">
        <v>400</v>
      </c>
      <c r="T295" s="589">
        <f>IF($R295="ja",$S295*0.25,IF($R295="neen","0,00 m²",IF($R295="à encoder","/")))</f>
        <v>100</v>
      </c>
      <c r="U295" s="589">
        <f>IF($R295="ja",$S295*0.5,IF($R295="neen","0,00 m²",IF($R295="à encoder","/")))</f>
        <v>200</v>
      </c>
      <c r="V295" s="1155"/>
      <c r="W295" s="1155"/>
      <c r="X295" s="1155"/>
      <c r="Y295" s="1155"/>
      <c r="Z295" s="1155"/>
      <c r="AA295" s="554"/>
      <c r="AB295" s="485"/>
      <c r="AC295" s="1114"/>
      <c r="AF295" s="577" t="s">
        <v>687</v>
      </c>
      <c r="AG295" s="576" t="s">
        <v>686</v>
      </c>
      <c r="AI295" s="567" t="s">
        <v>1150</v>
      </c>
      <c r="AJ295" s="576"/>
    </row>
    <row r="296" spans="1:37" ht="15.75" customHeight="1" thickBot="1">
      <c r="A296" s="1114"/>
      <c r="B296" s="1114"/>
      <c r="C296" s="1114"/>
      <c r="D296" s="488"/>
      <c r="E296" s="1243"/>
      <c r="F296" s="1243"/>
      <c r="G296" s="1243"/>
      <c r="H296" s="1243"/>
      <c r="I296" s="1452"/>
      <c r="J296" s="1246"/>
      <c r="K296" s="532" t="s">
        <v>713</v>
      </c>
      <c r="L296" s="1248" t="s">
        <v>1461</v>
      </c>
      <c r="M296" s="1249"/>
      <c r="N296" s="1249"/>
      <c r="O296" s="1249"/>
      <c r="P296" s="1250"/>
      <c r="Q296" s="590"/>
      <c r="R296" s="1093" t="s">
        <v>1095</v>
      </c>
      <c r="S296" s="575">
        <v>300</v>
      </c>
      <c r="T296" s="589">
        <f>IF($R296="ja",$S296*0.25,IF($R296="neen","0,00 m²",IF($R296="à encoder","/")))</f>
        <v>75</v>
      </c>
      <c r="U296" s="589">
        <f>IF($R296="ja",$S296*0.5,IF($R296="neen","0,00 m²",IF($R296="à encoder","/")))</f>
        <v>150</v>
      </c>
      <c r="V296" s="1155"/>
      <c r="W296" s="1155"/>
      <c r="X296" s="1155"/>
      <c r="Y296" s="1155"/>
      <c r="Z296" s="1155"/>
      <c r="AA296" s="554"/>
      <c r="AB296" s="485"/>
      <c r="AC296" s="1114"/>
      <c r="AF296" s="577" t="s">
        <v>687</v>
      </c>
      <c r="AG296" s="576" t="s">
        <v>686</v>
      </c>
      <c r="AI296" s="567" t="s">
        <v>1150</v>
      </c>
      <c r="AJ296" s="576"/>
    </row>
    <row r="297" spans="1:37" ht="15.75" customHeight="1" thickBot="1">
      <c r="A297" s="1114"/>
      <c r="B297" s="1114"/>
      <c r="C297" s="1114"/>
      <c r="D297" s="488"/>
      <c r="E297" s="1243"/>
      <c r="F297" s="1243"/>
      <c r="G297" s="1243"/>
      <c r="H297" s="1243"/>
      <c r="I297" s="1452"/>
      <c r="J297" s="1246"/>
      <c r="K297" s="532" t="s">
        <v>712</v>
      </c>
      <c r="L297" s="1227" t="s">
        <v>1462</v>
      </c>
      <c r="M297" s="1228"/>
      <c r="N297" s="1228"/>
      <c r="O297" s="1228"/>
      <c r="P297" s="1229"/>
      <c r="Q297" s="590"/>
      <c r="R297" s="1093" t="s">
        <v>1095</v>
      </c>
      <c r="S297" s="575">
        <v>300</v>
      </c>
      <c r="T297" s="589">
        <f>IF($R297="ja",$S297*0.25,IF($R297="neen","0,00 m²",IF($R297="à encoder","/")))</f>
        <v>75</v>
      </c>
      <c r="U297" s="589">
        <f>IF($R297="ja",$S297*0.5,IF($R297="neen","0,00 m²",IF($R297="à encoder","/")))</f>
        <v>150</v>
      </c>
      <c r="V297" s="523" t="s">
        <v>665</v>
      </c>
      <c r="W297" s="523" t="s">
        <v>664</v>
      </c>
      <c r="X297" s="555"/>
      <c r="Y297" s="555"/>
      <c r="Z297" s="555"/>
      <c r="AA297" s="554"/>
      <c r="AB297" s="485"/>
      <c r="AC297" s="1114"/>
      <c r="AF297" s="577" t="s">
        <v>687</v>
      </c>
      <c r="AG297" s="576" t="s">
        <v>686</v>
      </c>
      <c r="AI297" s="567" t="s">
        <v>1150</v>
      </c>
      <c r="AJ297" s="576"/>
    </row>
    <row r="298" spans="1:37" ht="15.75" customHeight="1" thickBot="1">
      <c r="A298" s="1114"/>
      <c r="B298" s="1114"/>
      <c r="C298" s="1114"/>
      <c r="D298" s="488"/>
      <c r="E298" s="1243"/>
      <c r="F298" s="1243"/>
      <c r="G298" s="1243"/>
      <c r="H298" s="1243"/>
      <c r="I298" s="1452"/>
      <c r="J298" s="1246"/>
      <c r="K298" s="532" t="s">
        <v>711</v>
      </c>
      <c r="L298" s="1248" t="s">
        <v>1463</v>
      </c>
      <c r="M298" s="1249"/>
      <c r="N298" s="1249"/>
      <c r="O298" s="1249"/>
      <c r="P298" s="1250"/>
      <c r="Q298" s="590"/>
      <c r="R298" s="1093" t="s">
        <v>1095</v>
      </c>
      <c r="S298" s="575">
        <v>400</v>
      </c>
      <c r="T298" s="589">
        <f>IF($R298="ja",$S298*0.5,IF($R298="neen","0,00 m²",IF($R298="à encoder","/")))</f>
        <v>200</v>
      </c>
      <c r="U298" s="589">
        <f>IF($R298="ja",$S298*1,IF($R298="neen","0,00 m²",IF($R298="à encoder","/")))</f>
        <v>400</v>
      </c>
      <c r="V298" s="1202">
        <f>IF(S300="/","/",1-S300/S299)</f>
        <v>1</v>
      </c>
      <c r="W298" s="1202"/>
      <c r="X298" s="555"/>
      <c r="Y298" s="555"/>
      <c r="Z298" s="578"/>
      <c r="AA298" s="530" t="s">
        <v>391</v>
      </c>
      <c r="AB298" s="485"/>
      <c r="AC298" s="1114"/>
      <c r="AF298" s="568" t="s">
        <v>684</v>
      </c>
      <c r="AG298" s="567" t="s">
        <v>710</v>
      </c>
      <c r="AH298" s="580"/>
      <c r="AI298" s="538" t="s">
        <v>1149</v>
      </c>
      <c r="AJ298" s="576"/>
      <c r="AK298" s="580"/>
    </row>
    <row r="299" spans="1:37" ht="15.75" customHeight="1" thickBot="1">
      <c r="A299" s="1114"/>
      <c r="B299" s="1114"/>
      <c r="C299" s="1114"/>
      <c r="D299" s="488"/>
      <c r="E299" s="1243"/>
      <c r="F299" s="1243"/>
      <c r="G299" s="1243"/>
      <c r="H299" s="1243"/>
      <c r="I299" s="1453"/>
      <c r="J299" s="1247"/>
      <c r="K299" s="529" t="s">
        <v>709</v>
      </c>
      <c r="L299" s="1233" t="s">
        <v>1464</v>
      </c>
      <c r="M299" s="1234"/>
      <c r="N299" s="1234"/>
      <c r="O299" s="1234"/>
      <c r="P299" s="1235"/>
      <c r="Q299" s="485"/>
      <c r="R299" s="572"/>
      <c r="S299" s="588">
        <f>M249</f>
        <v>2000</v>
      </c>
      <c r="T299" s="570"/>
      <c r="U299" s="555"/>
      <c r="V299" s="587">
        <f>IF(V298="/","/",IF(ISERROR(V298)=TRUE,"/",IF(V298&gt;100%,"FAUX",(SUM(T291:T298)/S299))))</f>
        <v>0.375</v>
      </c>
      <c r="W299" s="587">
        <f>IF(V298="/","/",IF(ISERROR(V298)=TRUE,"/",IF(V298&gt;100%,"FAUX",(SUM(U291:U298)/S299))))</f>
        <v>0.45</v>
      </c>
      <c r="X299" s="586"/>
      <c r="Y299" s="586"/>
      <c r="Z299" s="586"/>
      <c r="AA299" s="522" t="str">
        <f>IF(OR(V299="/",W299="/"),"/",IF(V298&gt;100%,"/",IF(AND(($V299&gt;=75%),(W299&gt;=50%)),"4",IF(AND(($V299&gt;=50%),(W299&gt;=50%)),"3",IF(AND(($V299&gt;=50%),(W299&gt;=25%)),"2",IF(AND(($V299&gt;=25%),(W299&gt;=25%)),"1",0))))))</f>
        <v>1</v>
      </c>
      <c r="AB299" s="485"/>
      <c r="AC299" s="1114"/>
      <c r="AF299" s="568"/>
      <c r="AG299" s="567"/>
      <c r="AH299" s="580"/>
      <c r="AI299" s="538"/>
      <c r="AJ299" s="576"/>
      <c r="AK299" s="580"/>
    </row>
    <row r="300" spans="1:37" ht="15.75" thickBot="1">
      <c r="A300" s="1114"/>
      <c r="B300" s="1114"/>
      <c r="C300" s="1114"/>
      <c r="D300" s="488"/>
      <c r="E300" s="1251" t="s">
        <v>1121</v>
      </c>
      <c r="F300" s="1251" t="s">
        <v>1122</v>
      </c>
      <c r="G300" s="1251" t="s">
        <v>674</v>
      </c>
      <c r="H300" s="1251" t="s">
        <v>1500</v>
      </c>
      <c r="I300" s="1131" t="s">
        <v>134</v>
      </c>
      <c r="J300" s="1288" t="s">
        <v>1393</v>
      </c>
      <c r="K300" s="1289"/>
      <c r="L300" s="1289"/>
      <c r="M300" s="1289"/>
      <c r="N300" s="1289"/>
      <c r="O300" s="1289"/>
      <c r="P300" s="1290"/>
      <c r="Q300" s="485"/>
      <c r="R300" s="566" t="s">
        <v>708</v>
      </c>
      <c r="S300" s="585">
        <f>IF(OR(R291="à encoder",R292="à encoder",R293="à encoder",R294="à encoder",R295="à encoder",R296="à encoder",R297="à encoder",R298="à encoder"),"/",S299-SUMIF(R291:R298,"ja",S291:S298))</f>
        <v>0</v>
      </c>
      <c r="T300" s="564"/>
      <c r="U300" s="584"/>
      <c r="V300" s="519" t="s">
        <v>707</v>
      </c>
      <c r="W300" s="519" t="s">
        <v>706</v>
      </c>
      <c r="X300" s="519"/>
      <c r="Y300" s="519"/>
      <c r="Z300" s="519"/>
      <c r="AA300" s="583"/>
      <c r="AB300" s="485"/>
      <c r="AC300" s="1114"/>
    </row>
    <row r="301" spans="1:37" ht="15.75" customHeight="1" thickBot="1">
      <c r="A301" s="1114"/>
      <c r="B301" s="1114"/>
      <c r="C301" s="1114"/>
      <c r="D301" s="488"/>
      <c r="E301" s="1252"/>
      <c r="F301" s="1252"/>
      <c r="G301" s="1252"/>
      <c r="H301" s="1252"/>
      <c r="I301" s="1124" t="s">
        <v>705</v>
      </c>
      <c r="J301" s="1448" t="s">
        <v>1466</v>
      </c>
      <c r="K301" s="1449"/>
      <c r="L301" s="1449"/>
      <c r="M301" s="1449"/>
      <c r="N301" s="1449"/>
      <c r="O301" s="1449"/>
      <c r="P301" s="1450"/>
      <c r="Q301" s="497"/>
      <c r="R301" s="491"/>
      <c r="T301" s="474"/>
      <c r="U301" s="474"/>
      <c r="AA301" s="560"/>
      <c r="AB301" s="561"/>
      <c r="AC301" s="1114"/>
      <c r="AD301" s="560"/>
    </row>
    <row r="302" spans="1:37" ht="15" customHeight="1" thickBot="1">
      <c r="A302" s="1114"/>
      <c r="B302" s="1114"/>
      <c r="C302" s="1114"/>
      <c r="D302" s="488"/>
      <c r="E302" s="1218" t="s">
        <v>672</v>
      </c>
      <c r="F302" s="1218" t="s">
        <v>672</v>
      </c>
      <c r="G302" s="1218" t="s">
        <v>672</v>
      </c>
      <c r="H302" s="1218" t="s">
        <v>672</v>
      </c>
      <c r="I302" s="1236" t="s">
        <v>704</v>
      </c>
      <c r="J302" s="551" t="s">
        <v>1127</v>
      </c>
      <c r="K302" s="1267" t="s">
        <v>1394</v>
      </c>
      <c r="L302" s="1268"/>
      <c r="M302" s="550" t="s">
        <v>641</v>
      </c>
      <c r="N302" s="550" t="s">
        <v>639</v>
      </c>
      <c r="O302" s="550" t="s">
        <v>638</v>
      </c>
      <c r="P302" s="549" t="s">
        <v>636</v>
      </c>
      <c r="Q302" s="497"/>
      <c r="R302" s="496"/>
      <c r="S302" s="497"/>
      <c r="T302" s="496"/>
      <c r="U302" s="496"/>
      <c r="V302" s="497"/>
      <c r="W302" s="497"/>
      <c r="X302" s="497"/>
      <c r="Y302" s="497"/>
      <c r="Z302" s="497"/>
      <c r="AA302" s="510"/>
      <c r="AB302" s="561"/>
      <c r="AC302" s="1114"/>
      <c r="AD302" s="560"/>
    </row>
    <row r="303" spans="1:37" ht="64.5" customHeight="1" thickBot="1">
      <c r="A303" s="1114"/>
      <c r="B303" s="1118"/>
      <c r="C303" s="1114"/>
      <c r="D303" s="488"/>
      <c r="E303" s="1219"/>
      <c r="F303" s="1219"/>
      <c r="G303" s="1219"/>
      <c r="H303" s="1219"/>
      <c r="I303" s="1237"/>
      <c r="J303" s="547" t="s">
        <v>1135</v>
      </c>
      <c r="K303" s="1160" t="s">
        <v>1395</v>
      </c>
      <c r="L303" s="1161"/>
      <c r="M303" s="582" t="s">
        <v>1396</v>
      </c>
      <c r="N303" s="582" t="s">
        <v>1397</v>
      </c>
      <c r="O303" s="582" t="s">
        <v>1398</v>
      </c>
      <c r="P303" s="582" t="s">
        <v>1399</v>
      </c>
      <c r="Q303" s="497"/>
      <c r="R303" s="515"/>
      <c r="S303" s="497"/>
      <c r="T303" s="496"/>
      <c r="U303" s="496"/>
      <c r="V303" s="497"/>
      <c r="W303" s="497"/>
      <c r="X303" s="497"/>
      <c r="Y303" s="497"/>
      <c r="Z303" s="497"/>
      <c r="AA303" s="510"/>
      <c r="AB303" s="561"/>
      <c r="AC303" s="1114"/>
      <c r="AD303" s="560"/>
    </row>
    <row r="304" spans="1:37" ht="15.75" customHeight="1" thickBot="1">
      <c r="A304" s="1114"/>
      <c r="B304" s="1114"/>
      <c r="C304" s="1114"/>
      <c r="D304" s="488"/>
      <c r="E304" s="1219"/>
      <c r="F304" s="1219"/>
      <c r="G304" s="1219"/>
      <c r="H304" s="1219"/>
      <c r="I304" s="1237"/>
      <c r="J304" s="1245" t="s">
        <v>1132</v>
      </c>
      <c r="K304" s="532" t="s">
        <v>703</v>
      </c>
      <c r="L304" s="1227" t="s">
        <v>1400</v>
      </c>
      <c r="M304" s="1228"/>
      <c r="N304" s="1228"/>
      <c r="O304" s="1228"/>
      <c r="P304" s="1229"/>
      <c r="Q304" s="485"/>
      <c r="R304" s="1094" t="s">
        <v>1146</v>
      </c>
      <c r="S304" s="559"/>
      <c r="T304" s="542">
        <f>IF($R304="ja",1,IF($R304="neen",0,IF($R304="ja&gt;75%",0.75,IF($R304="ja&gt;50%",0.5,IF($R304="ja&gt;25%",0.25,IF($R304="à encoder","/"))))))</f>
        <v>0.5</v>
      </c>
      <c r="U304" s="581"/>
      <c r="V304" s="541"/>
      <c r="W304" s="541"/>
      <c r="X304" s="541"/>
      <c r="Y304" s="541"/>
      <c r="Z304" s="541"/>
      <c r="AA304" s="557"/>
      <c r="AB304" s="485"/>
      <c r="AC304" s="1114"/>
      <c r="AE304" s="537" t="s">
        <v>702</v>
      </c>
      <c r="AF304" s="538"/>
      <c r="AH304" s="537"/>
    </row>
    <row r="305" spans="1:34" ht="15.75" customHeight="1" thickBot="1">
      <c r="A305" s="1114"/>
      <c r="B305" s="1114"/>
      <c r="C305" s="1114"/>
      <c r="D305" s="488"/>
      <c r="E305" s="1219"/>
      <c r="F305" s="1219"/>
      <c r="G305" s="1219"/>
      <c r="H305" s="1219"/>
      <c r="I305" s="1237"/>
      <c r="J305" s="1246"/>
      <c r="K305" s="532" t="s">
        <v>701</v>
      </c>
      <c r="L305" s="1230" t="s">
        <v>1401</v>
      </c>
      <c r="M305" s="1231"/>
      <c r="N305" s="1231"/>
      <c r="O305" s="1231"/>
      <c r="P305" s="1232"/>
      <c r="Q305" s="485"/>
      <c r="R305" s="1093" t="s">
        <v>1095</v>
      </c>
      <c r="S305" s="575">
        <v>200</v>
      </c>
      <c r="T305" s="574">
        <f>IF($R305="ja",$S305*1,IF($R305="neen","0,00 m",IF($R305="à encoder","/")))</f>
        <v>200</v>
      </c>
      <c r="U305" s="574">
        <f>IF($R305="ja",$S305*1,IF($R305="neen","0,00 m",IF($R305="à encoder","/")))</f>
        <v>200</v>
      </c>
      <c r="V305" s="1155" t="str">
        <f>IF(S313&lt;0,"Délimitation PERCEEL plus grande que le périmètre encodé dans les caractéristiques physiques du site","")</f>
        <v/>
      </c>
      <c r="W305" s="1155"/>
      <c r="X305" s="1155"/>
      <c r="Y305" s="1155"/>
      <c r="Z305" s="1155"/>
      <c r="AA305" s="554"/>
      <c r="AB305" s="485"/>
      <c r="AC305" s="1114"/>
      <c r="AE305" s="580" t="s">
        <v>700</v>
      </c>
      <c r="AF305" s="579" t="s">
        <v>697</v>
      </c>
      <c r="AG305" s="538" t="s">
        <v>699</v>
      </c>
    </row>
    <row r="306" spans="1:34" ht="15.75" customHeight="1" thickBot="1">
      <c r="A306" s="1114"/>
      <c r="B306" s="1114"/>
      <c r="C306" s="1114"/>
      <c r="D306" s="488"/>
      <c r="E306" s="1219"/>
      <c r="F306" s="1219"/>
      <c r="G306" s="1219"/>
      <c r="H306" s="1219"/>
      <c r="I306" s="1237"/>
      <c r="J306" s="1246"/>
      <c r="K306" s="532" t="s">
        <v>698</v>
      </c>
      <c r="L306" s="1230" t="s">
        <v>1402</v>
      </c>
      <c r="M306" s="1231"/>
      <c r="N306" s="1231"/>
      <c r="O306" s="1231"/>
      <c r="P306" s="1232"/>
      <c r="Q306" s="485"/>
      <c r="R306" s="1093" t="s">
        <v>1096</v>
      </c>
      <c r="S306" s="575">
        <v>0</v>
      </c>
      <c r="T306" s="574" t="str">
        <f>IF($R306="ja",$S306*1,IF($R306="neen","0,00 m",IF($R306="à encoder","/")))</f>
        <v>0,00 m</v>
      </c>
      <c r="U306" s="574" t="str">
        <f>IF($R306="ja",$S306*1,IF($R306="neen","0,00 m",IF($R306="à encoder","/")))</f>
        <v>0,00 m</v>
      </c>
      <c r="V306" s="1155"/>
      <c r="W306" s="1155"/>
      <c r="X306" s="1155"/>
      <c r="Y306" s="1155"/>
      <c r="Z306" s="1155"/>
      <c r="AA306" s="554"/>
      <c r="AB306" s="485"/>
      <c r="AC306" s="1114"/>
      <c r="AF306" s="579" t="s">
        <v>697</v>
      </c>
      <c r="AG306" s="538" t="s">
        <v>696</v>
      </c>
    </row>
    <row r="307" spans="1:34" ht="15.75" customHeight="1" thickBot="1">
      <c r="A307" s="1114"/>
      <c r="B307" s="1114"/>
      <c r="C307" s="1114"/>
      <c r="D307" s="488"/>
      <c r="E307" s="1219"/>
      <c r="F307" s="1219"/>
      <c r="G307" s="1219"/>
      <c r="H307" s="1219"/>
      <c r="I307" s="1237"/>
      <c r="J307" s="1246"/>
      <c r="K307" s="532" t="s">
        <v>695</v>
      </c>
      <c r="L307" s="1230" t="s">
        <v>1403</v>
      </c>
      <c r="M307" s="1231"/>
      <c r="N307" s="1231"/>
      <c r="O307" s="1231"/>
      <c r="P307" s="1232"/>
      <c r="Q307" s="485"/>
      <c r="R307" s="1093" t="s">
        <v>1095</v>
      </c>
      <c r="S307" s="575">
        <v>200</v>
      </c>
      <c r="T307" s="574">
        <f>IF($R307="ja",$S307*1,IF($R307="neen","0,00 m",IF($R307="à encoder","/")))</f>
        <v>200</v>
      </c>
      <c r="U307" s="574">
        <f>IF($R307="ja",$S307*0.5,IF($R307="neen","0,00 m",IF($R307="à encoder","/")))</f>
        <v>100</v>
      </c>
      <c r="V307" s="1155"/>
      <c r="W307" s="1155"/>
      <c r="X307" s="1155"/>
      <c r="Y307" s="1155"/>
      <c r="Z307" s="1155"/>
      <c r="AA307" s="554"/>
      <c r="AB307" s="485"/>
      <c r="AC307" s="1114"/>
      <c r="AF307" s="568" t="s">
        <v>692</v>
      </c>
      <c r="AG307" s="567" t="s">
        <v>694</v>
      </c>
    </row>
    <row r="308" spans="1:34" ht="15.75" customHeight="1" thickBot="1">
      <c r="A308" s="1114"/>
      <c r="B308" s="1114"/>
      <c r="C308" s="1114"/>
      <c r="D308" s="488"/>
      <c r="E308" s="1219"/>
      <c r="F308" s="1219"/>
      <c r="G308" s="1219"/>
      <c r="H308" s="1219"/>
      <c r="I308" s="1237"/>
      <c r="J308" s="1246"/>
      <c r="K308" s="532" t="s">
        <v>693</v>
      </c>
      <c r="L308" s="1230" t="s">
        <v>1404</v>
      </c>
      <c r="M308" s="1231"/>
      <c r="N308" s="1231"/>
      <c r="O308" s="1231"/>
      <c r="P308" s="1232"/>
      <c r="Q308" s="485"/>
      <c r="R308" s="1093" t="s">
        <v>1095</v>
      </c>
      <c r="S308" s="575">
        <v>200</v>
      </c>
      <c r="T308" s="574">
        <f>IF($R308="ja",$S308*1,IF($R308="neen","0,00 m",IF($R308="à encoder","/")))</f>
        <v>200</v>
      </c>
      <c r="U308" s="574">
        <f>IF($R308="ja",$S308*0.5,IF($R308="neen","0,00 m",IF($R308="à encoder","/")))</f>
        <v>100</v>
      </c>
      <c r="V308" s="1155"/>
      <c r="W308" s="1155"/>
      <c r="X308" s="1155"/>
      <c r="Y308" s="1155"/>
      <c r="Z308" s="1155"/>
      <c r="AA308" s="554"/>
      <c r="AB308" s="485"/>
      <c r="AC308" s="1114"/>
      <c r="AF308" s="568" t="s">
        <v>692</v>
      </c>
      <c r="AG308" s="567" t="s">
        <v>691</v>
      </c>
    </row>
    <row r="309" spans="1:34" ht="15.75" customHeight="1" thickBot="1">
      <c r="A309" s="1114"/>
      <c r="B309" s="1114"/>
      <c r="C309" s="1114"/>
      <c r="D309" s="488"/>
      <c r="E309" s="1219"/>
      <c r="F309" s="1219"/>
      <c r="G309" s="1219"/>
      <c r="H309" s="1219"/>
      <c r="I309" s="1237"/>
      <c r="J309" s="1246"/>
      <c r="K309" s="532" t="s">
        <v>690</v>
      </c>
      <c r="L309" s="1230" t="s">
        <v>1405</v>
      </c>
      <c r="M309" s="1231"/>
      <c r="N309" s="1231"/>
      <c r="O309" s="1231"/>
      <c r="P309" s="1232"/>
      <c r="Q309" s="485"/>
      <c r="R309" s="1093" t="s">
        <v>1095</v>
      </c>
      <c r="S309" s="575">
        <v>200</v>
      </c>
      <c r="T309" s="574">
        <f>IF($R309="ja",$S309*1,IF($R309="neen","0,00 m",IF($R309="à encoder","/")))</f>
        <v>200</v>
      </c>
      <c r="U309" s="574">
        <f>IF($R309="ja",$S309*0.5,IF($R309="neen","0,00 m",IF($R309="à encoder","/")))</f>
        <v>100</v>
      </c>
      <c r="V309" s="1155"/>
      <c r="W309" s="1155"/>
      <c r="X309" s="1155"/>
      <c r="Y309" s="1155"/>
      <c r="Z309" s="1155"/>
      <c r="AA309" s="554"/>
      <c r="AB309" s="485"/>
      <c r="AC309" s="1114"/>
      <c r="AF309" s="568" t="s">
        <v>684</v>
      </c>
      <c r="AG309" s="567" t="s">
        <v>689</v>
      </c>
    </row>
    <row r="310" spans="1:34" ht="15.75" customHeight="1" thickBot="1">
      <c r="A310" s="1114"/>
      <c r="B310" s="1114"/>
      <c r="C310" s="1114"/>
      <c r="D310" s="488"/>
      <c r="E310" s="1219"/>
      <c r="F310" s="1219"/>
      <c r="G310" s="1219"/>
      <c r="H310" s="1219"/>
      <c r="I310" s="1237"/>
      <c r="J310" s="1246"/>
      <c r="K310" s="532" t="s">
        <v>688</v>
      </c>
      <c r="L310" s="1230" t="s">
        <v>1406</v>
      </c>
      <c r="M310" s="1231"/>
      <c r="N310" s="1231"/>
      <c r="O310" s="1231"/>
      <c r="P310" s="1232"/>
      <c r="Q310" s="485"/>
      <c r="R310" s="1093" t="s">
        <v>1095</v>
      </c>
      <c r="S310" s="575">
        <v>200</v>
      </c>
      <c r="T310" s="574">
        <f>IF($R310="ja",$S310*1,IF($R310="neen","0,00 m",IF($R310="à encoder","/")))</f>
        <v>200</v>
      </c>
      <c r="U310" s="574">
        <f>IF($R310="ja",$S310*0.25,IF($R310="neen","0,00 m",IF($R310="à encoder","/")))</f>
        <v>50</v>
      </c>
      <c r="V310" s="523" t="s">
        <v>665</v>
      </c>
      <c r="W310" s="523" t="s">
        <v>664</v>
      </c>
      <c r="X310" s="555"/>
      <c r="Y310" s="555"/>
      <c r="Z310" s="578"/>
      <c r="AA310" s="554"/>
      <c r="AB310" s="485"/>
      <c r="AC310" s="1114"/>
      <c r="AF310" s="577" t="s">
        <v>687</v>
      </c>
      <c r="AG310" s="576" t="s">
        <v>686</v>
      </c>
    </row>
    <row r="311" spans="1:34" ht="15.75" customHeight="1" thickBot="1">
      <c r="A311" s="1114"/>
      <c r="B311" s="1114"/>
      <c r="C311" s="1114"/>
      <c r="D311" s="488"/>
      <c r="E311" s="1219"/>
      <c r="F311" s="1219"/>
      <c r="G311" s="1219"/>
      <c r="H311" s="1219"/>
      <c r="I311" s="1237"/>
      <c r="J311" s="1246"/>
      <c r="K311" s="532" t="s">
        <v>685</v>
      </c>
      <c r="L311" s="1230" t="s">
        <v>1407</v>
      </c>
      <c r="M311" s="1231"/>
      <c r="N311" s="1231"/>
      <c r="O311" s="1231"/>
      <c r="P311" s="1232"/>
      <c r="Q311" s="485"/>
      <c r="R311" s="1093" t="s">
        <v>1096</v>
      </c>
      <c r="S311" s="575">
        <v>0</v>
      </c>
      <c r="T311" s="574" t="str">
        <f>IF($R311="ja",$S311*1,IF($R311="neen","0,00 m",IF($R311="à encoder","/")))</f>
        <v>0,00 m</v>
      </c>
      <c r="U311" s="574" t="str">
        <f>IF($R311="ja",$S311*0.5,IF($R311="neen","0,00 m",IF($R311="à encoder","/")))</f>
        <v>0,00 m</v>
      </c>
      <c r="V311" s="573"/>
      <c r="W311" s="573">
        <f>IF(S313="/","/",1-S313/S312)</f>
        <v>1</v>
      </c>
      <c r="X311" s="523"/>
      <c r="Y311" s="523"/>
      <c r="Z311" s="523"/>
      <c r="AA311" s="530" t="s">
        <v>391</v>
      </c>
      <c r="AB311" s="485"/>
      <c r="AC311" s="1114"/>
      <c r="AF311" s="568" t="s">
        <v>684</v>
      </c>
      <c r="AG311" s="567" t="s">
        <v>683</v>
      </c>
    </row>
    <row r="312" spans="1:34" ht="15.75" customHeight="1" thickBot="1">
      <c r="A312" s="1114"/>
      <c r="B312" s="1114"/>
      <c r="C312" s="1114"/>
      <c r="D312" s="488"/>
      <c r="E312" s="1220"/>
      <c r="F312" s="1220"/>
      <c r="G312" s="1220"/>
      <c r="H312" s="1220"/>
      <c r="I312" s="1272"/>
      <c r="J312" s="1247"/>
      <c r="K312" s="532" t="s">
        <v>682</v>
      </c>
      <c r="L312" s="1230" t="s">
        <v>1467</v>
      </c>
      <c r="M312" s="1231"/>
      <c r="N312" s="1231"/>
      <c r="O312" s="1231"/>
      <c r="P312" s="1232"/>
      <c r="Q312" s="485"/>
      <c r="R312" s="572"/>
      <c r="S312" s="571">
        <f>L255</f>
        <v>1000</v>
      </c>
      <c r="T312" s="570"/>
      <c r="U312" s="523"/>
      <c r="V312" s="525">
        <f>IF(R304="à encoder","/",T304)</f>
        <v>0.5</v>
      </c>
      <c r="W312" s="569">
        <f>IF(W311="/","/",IF(ISERROR(W311)=TRUE,"/",IF(W311&gt;100%,"FAUX",SUM(U305:U311)/S312)))</f>
        <v>0.55000000000000004</v>
      </c>
      <c r="X312" s="523"/>
      <c r="Y312" s="523"/>
      <c r="Z312" s="523"/>
      <c r="AA312" s="522" t="str">
        <f>IF(OR(V312="/",W312="/"),"/",IF(W311&gt;100%,"/",IF(AND(($V312&gt;=75%),($W312&gt;=75%)),"4",IF(AND(($V312&gt;=50%),($W312&gt;=50%)),"3",IF(AND(($V312&gt;=25%),($W312&gt;=25%)),"2",IF(AND(($V312&gt;=25%),($W312&lt;=25%)),"1",0))))))</f>
        <v>3</v>
      </c>
      <c r="AB312" s="485"/>
      <c r="AC312" s="1114"/>
      <c r="AF312" s="568"/>
      <c r="AG312" s="567"/>
    </row>
    <row r="313" spans="1:34" ht="15.75" customHeight="1" thickBot="1">
      <c r="A313" s="1114"/>
      <c r="B313" s="1114"/>
      <c r="C313" s="1114"/>
      <c r="D313" s="488"/>
      <c r="E313" s="552" t="s">
        <v>1121</v>
      </c>
      <c r="F313" s="552" t="s">
        <v>1122</v>
      </c>
      <c r="G313" s="552" t="s">
        <v>674</v>
      </c>
      <c r="H313" s="552" t="s">
        <v>1500</v>
      </c>
      <c r="I313" s="1125" t="s">
        <v>681</v>
      </c>
      <c r="J313" s="1269" t="s">
        <v>1409</v>
      </c>
      <c r="K313" s="1270"/>
      <c r="L313" s="1270"/>
      <c r="M313" s="1270"/>
      <c r="N313" s="1270"/>
      <c r="O313" s="1270"/>
      <c r="P313" s="1271"/>
      <c r="Q313" s="485"/>
      <c r="R313" s="566" t="s">
        <v>680</v>
      </c>
      <c r="S313" s="565">
        <f>IF(OR(R305="à encoder",R306="à encoder",R307="à encoder",R308="à encoder",R309="à encoder",R310="à encoder",R311="à encoder"),"/",S312-SUMIF(R305:R311,"ja",S305:S311))</f>
        <v>0</v>
      </c>
      <c r="T313" s="564"/>
      <c r="U313" s="519"/>
      <c r="V313" s="519" t="s">
        <v>1504</v>
      </c>
      <c r="W313" s="519" t="s">
        <v>1505</v>
      </c>
      <c r="X313" s="519"/>
      <c r="Y313" s="519"/>
      <c r="Z313" s="519"/>
      <c r="AA313" s="518"/>
      <c r="AB313" s="485"/>
      <c r="AC313" s="1114"/>
    </row>
    <row r="314" spans="1:34" ht="15" customHeight="1" thickBot="1">
      <c r="A314" s="1114"/>
      <c r="B314" s="1114"/>
      <c r="C314" s="1114"/>
      <c r="D314" s="488"/>
      <c r="E314" s="1218" t="s">
        <v>672</v>
      </c>
      <c r="F314" s="1218" t="s">
        <v>672</v>
      </c>
      <c r="G314" s="1218" t="s">
        <v>672</v>
      </c>
      <c r="H314" s="1218" t="s">
        <v>672</v>
      </c>
      <c r="I314" s="1236" t="s">
        <v>679</v>
      </c>
      <c r="J314" s="551" t="s">
        <v>1127</v>
      </c>
      <c r="K314" s="1158" t="s">
        <v>1410</v>
      </c>
      <c r="L314" s="1159"/>
      <c r="M314" s="550" t="s">
        <v>641</v>
      </c>
      <c r="N314" s="550" t="s">
        <v>639</v>
      </c>
      <c r="O314" s="550" t="s">
        <v>638</v>
      </c>
      <c r="P314" s="549" t="s">
        <v>636</v>
      </c>
      <c r="Q314" s="497"/>
      <c r="R314" s="548"/>
      <c r="AA314" s="560"/>
      <c r="AB314" s="561"/>
      <c r="AC314" s="1114"/>
      <c r="AD314" s="560"/>
    </row>
    <row r="315" spans="1:34" ht="119.25" customHeight="1" thickBot="1">
      <c r="A315" s="1114"/>
      <c r="B315" s="1118"/>
      <c r="C315" s="1114"/>
      <c r="D315" s="488"/>
      <c r="E315" s="1219"/>
      <c r="F315" s="1219"/>
      <c r="G315" s="1219"/>
      <c r="H315" s="1219"/>
      <c r="I315" s="1237"/>
      <c r="J315" s="547" t="s">
        <v>1135</v>
      </c>
      <c r="K315" s="1273" t="s">
        <v>1415</v>
      </c>
      <c r="L315" s="1274"/>
      <c r="M315" s="563" t="s">
        <v>1411</v>
      </c>
      <c r="N315" s="562" t="s">
        <v>1412</v>
      </c>
      <c r="O315" s="563" t="s">
        <v>1413</v>
      </c>
      <c r="P315" s="562" t="s">
        <v>1414</v>
      </c>
      <c r="Q315" s="488"/>
      <c r="R315" s="496"/>
      <c r="S315" s="497"/>
      <c r="T315" s="496"/>
      <c r="U315" s="496"/>
      <c r="V315" s="497"/>
      <c r="W315" s="497"/>
      <c r="X315" s="497"/>
      <c r="Y315" s="497"/>
      <c r="Z315" s="497"/>
      <c r="AA315" s="510"/>
      <c r="AB315" s="561"/>
      <c r="AC315" s="1114"/>
      <c r="AD315" s="560"/>
    </row>
    <row r="316" spans="1:34" ht="15.75" customHeight="1" thickBot="1">
      <c r="A316" s="1114"/>
      <c r="B316" s="1114"/>
      <c r="C316" s="1114"/>
      <c r="D316" s="488"/>
      <c r="E316" s="1219"/>
      <c r="F316" s="1219"/>
      <c r="G316" s="1219"/>
      <c r="H316" s="1219"/>
      <c r="I316" s="1237"/>
      <c r="J316" s="1240" t="s">
        <v>1132</v>
      </c>
      <c r="K316" s="532" t="s">
        <v>678</v>
      </c>
      <c r="L316" s="1227" t="s">
        <v>1416</v>
      </c>
      <c r="M316" s="1228"/>
      <c r="N316" s="1228"/>
      <c r="O316" s="1228"/>
      <c r="P316" s="1229"/>
      <c r="Q316" s="485"/>
      <c r="R316" s="1094" t="s">
        <v>1146</v>
      </c>
      <c r="S316" s="559"/>
      <c r="T316" s="542">
        <f>IF($R316="ja",1,IF($R316="neen",0,IF($R316="NP",1,IF($R316="ja&gt;75%",0.75,IF($R316="ja&gt;50%",0.5,IF($R316="ja&gt;25%",0.25,IF($R316="à encoder","/")))))))</f>
        <v>0.5</v>
      </c>
      <c r="U316" s="558"/>
      <c r="V316" s="541"/>
      <c r="W316" s="541"/>
      <c r="X316" s="541"/>
      <c r="Y316" s="541"/>
      <c r="Z316" s="541"/>
      <c r="AA316" s="557"/>
      <c r="AB316" s="485"/>
      <c r="AC316" s="1114"/>
      <c r="AE316" s="537"/>
      <c r="AF316" s="538"/>
      <c r="AH316" s="537"/>
    </row>
    <row r="317" spans="1:34" ht="15.75" customHeight="1" thickBot="1">
      <c r="A317" s="1114"/>
      <c r="B317" s="1114"/>
      <c r="C317" s="1114"/>
      <c r="D317" s="488"/>
      <c r="E317" s="1219"/>
      <c r="F317" s="1219"/>
      <c r="G317" s="1219"/>
      <c r="H317" s="1219"/>
      <c r="I317" s="1237"/>
      <c r="J317" s="1241"/>
      <c r="K317" s="532" t="s">
        <v>677</v>
      </c>
      <c r="L317" s="1230" t="s">
        <v>1417</v>
      </c>
      <c r="M317" s="1231"/>
      <c r="N317" s="1231"/>
      <c r="O317" s="1231"/>
      <c r="P317" s="1232"/>
      <c r="Q317" s="485"/>
      <c r="R317" s="1093" t="s">
        <v>1095</v>
      </c>
      <c r="S317" s="555"/>
      <c r="T317" s="553"/>
      <c r="U317" s="556"/>
      <c r="V317" s="555"/>
      <c r="W317" s="555"/>
      <c r="X317" s="555"/>
      <c r="Y317" s="555"/>
      <c r="Z317" s="555"/>
      <c r="AA317" s="554"/>
      <c r="AB317" s="485"/>
      <c r="AC317" s="1114"/>
      <c r="AF317" s="535"/>
    </row>
    <row r="318" spans="1:34" ht="15.75" customHeight="1" thickBot="1">
      <c r="A318" s="1114"/>
      <c r="B318" s="1114"/>
      <c r="C318" s="1114"/>
      <c r="D318" s="488"/>
      <c r="E318" s="1219"/>
      <c r="F318" s="1219"/>
      <c r="G318" s="1219"/>
      <c r="H318" s="1219"/>
      <c r="I318" s="1237"/>
      <c r="J318" s="1241"/>
      <c r="K318" s="532" t="s">
        <v>676</v>
      </c>
      <c r="L318" s="1230" t="s">
        <v>1418</v>
      </c>
      <c r="M318" s="1231"/>
      <c r="N318" s="1231"/>
      <c r="O318" s="1231"/>
      <c r="P318" s="1232"/>
      <c r="Q318" s="485"/>
      <c r="R318" s="1093" t="s">
        <v>1095</v>
      </c>
      <c r="S318" s="528"/>
      <c r="T318" s="553"/>
      <c r="U318" s="531" t="s">
        <v>665</v>
      </c>
      <c r="V318" s="523" t="s">
        <v>664</v>
      </c>
      <c r="W318" s="523" t="s">
        <v>663</v>
      </c>
      <c r="X318" s="523" t="s">
        <v>662</v>
      </c>
      <c r="Y318" s="523"/>
      <c r="Z318" s="523"/>
      <c r="AA318" s="530" t="s">
        <v>391</v>
      </c>
      <c r="AB318" s="485"/>
      <c r="AC318" s="1114"/>
    </row>
    <row r="319" spans="1:34" ht="15.75" customHeight="1" thickBot="1">
      <c r="A319" s="1114"/>
      <c r="B319" s="1114"/>
      <c r="C319" s="1114"/>
      <c r="D319" s="488"/>
      <c r="E319" s="1219"/>
      <c r="F319" s="1219"/>
      <c r="G319" s="1219"/>
      <c r="H319" s="1219"/>
      <c r="I319" s="1237"/>
      <c r="J319" s="1241"/>
      <c r="K319" s="532" t="s">
        <v>675</v>
      </c>
      <c r="L319" s="1230" t="s">
        <v>1419</v>
      </c>
      <c r="M319" s="1231"/>
      <c r="N319" s="1231"/>
      <c r="O319" s="1231"/>
      <c r="P319" s="1232"/>
      <c r="Q319" s="485"/>
      <c r="R319" s="1093" t="s">
        <v>1096</v>
      </c>
      <c r="S319" s="528"/>
      <c r="T319" s="553"/>
      <c r="U319" s="526">
        <f>IF(R316="à encoder ","/",T316)</f>
        <v>0.5</v>
      </c>
      <c r="V319" s="524" t="str">
        <f>IF(R317="à encoder","/",R317)</f>
        <v>ja</v>
      </c>
      <c r="W319" s="524" t="str">
        <f>IF(R318="à encoder","/",R318)</f>
        <v>ja</v>
      </c>
      <c r="X319" s="524" t="str">
        <f>IF(R319="à encoder","/",R319)</f>
        <v>neen</v>
      </c>
      <c r="Y319" s="523"/>
      <c r="Z319" s="523"/>
      <c r="AA319" s="522" t="str">
        <f>IF(OR(U319="/",V319="/",W319="/",X319="/"),"/",IF(AND((U319&gt;=75%),(V319="ja"),(W319="ja"),(X319="ja")),"4",IF(AND((U319&gt;=50%),(V319="ja"),(W319="ja")),"3",IF(AND((U319&gt;=25%),(V319="ja")),"2",IF((U319&gt;=25%),"1",0)))))</f>
        <v>3</v>
      </c>
      <c r="AB319" s="485"/>
      <c r="AC319" s="1114"/>
    </row>
    <row r="320" spans="1:34" ht="15.75" customHeight="1" thickBot="1">
      <c r="A320" s="1114"/>
      <c r="B320" s="1114"/>
      <c r="C320" s="1114"/>
      <c r="D320" s="488"/>
      <c r="E320" s="552" t="s">
        <v>1121</v>
      </c>
      <c r="F320" s="552" t="s">
        <v>1122</v>
      </c>
      <c r="G320" s="552" t="s">
        <v>674</v>
      </c>
      <c r="H320" s="552" t="s">
        <v>1500</v>
      </c>
      <c r="I320" s="1125" t="s">
        <v>673</v>
      </c>
      <c r="J320" s="1215" t="s">
        <v>1420</v>
      </c>
      <c r="K320" s="1216"/>
      <c r="L320" s="1216"/>
      <c r="M320" s="1216"/>
      <c r="N320" s="1216"/>
      <c r="O320" s="1216"/>
      <c r="P320" s="1217"/>
      <c r="Q320" s="485"/>
      <c r="R320" s="521"/>
      <c r="S320" s="520"/>
      <c r="T320" s="520"/>
      <c r="U320" s="519" t="s">
        <v>1506</v>
      </c>
      <c r="V320" s="519" t="s">
        <v>1507</v>
      </c>
      <c r="W320" s="519" t="s">
        <v>1508</v>
      </c>
      <c r="X320" s="519" t="s">
        <v>1509</v>
      </c>
      <c r="Y320" s="520"/>
      <c r="Z320" s="519"/>
      <c r="AA320" s="518"/>
      <c r="AB320" s="485"/>
      <c r="AC320" s="1114"/>
    </row>
    <row r="321" spans="1:34" ht="15" customHeight="1" thickBot="1">
      <c r="A321" s="1114"/>
      <c r="B321" s="1114"/>
      <c r="C321" s="1114"/>
      <c r="D321" s="488"/>
      <c r="E321" s="1218" t="s">
        <v>672</v>
      </c>
      <c r="F321" s="1218" t="s">
        <v>672</v>
      </c>
      <c r="G321" s="1218" t="s">
        <v>672</v>
      </c>
      <c r="H321" s="1218" t="s">
        <v>672</v>
      </c>
      <c r="I321" s="1236" t="s">
        <v>671</v>
      </c>
      <c r="J321" s="551" t="s">
        <v>1127</v>
      </c>
      <c r="K321" s="1158" t="s">
        <v>1421</v>
      </c>
      <c r="L321" s="1159"/>
      <c r="M321" s="550" t="s">
        <v>641</v>
      </c>
      <c r="N321" s="550" t="s">
        <v>639</v>
      </c>
      <c r="O321" s="550" t="s">
        <v>638</v>
      </c>
      <c r="P321" s="549" t="s">
        <v>636</v>
      </c>
      <c r="Q321" s="497"/>
      <c r="R321" s="548"/>
      <c r="AB321" s="485"/>
      <c r="AC321" s="1114"/>
    </row>
    <row r="322" spans="1:34" ht="128.25" customHeight="1" thickBot="1">
      <c r="A322" s="1114"/>
      <c r="B322" s="1118"/>
      <c r="C322" s="1114"/>
      <c r="D322" s="488"/>
      <c r="E322" s="1219"/>
      <c r="F322" s="1219"/>
      <c r="G322" s="1219"/>
      <c r="H322" s="1219"/>
      <c r="I322" s="1237"/>
      <c r="J322" s="547" t="s">
        <v>1135</v>
      </c>
      <c r="K322" s="1160" t="s">
        <v>1422</v>
      </c>
      <c r="L322" s="1161"/>
      <c r="M322" s="546" t="s">
        <v>1423</v>
      </c>
      <c r="N322" s="546" t="s">
        <v>1424</v>
      </c>
      <c r="O322" s="546" t="s">
        <v>1425</v>
      </c>
      <c r="P322" s="546" t="s">
        <v>1426</v>
      </c>
      <c r="Q322" s="497"/>
      <c r="R322" s="515"/>
      <c r="S322" s="497"/>
      <c r="T322" s="496"/>
      <c r="U322" s="496"/>
      <c r="V322" s="497"/>
      <c r="W322" s="497"/>
      <c r="X322" s="545"/>
      <c r="Y322" s="497"/>
      <c r="Z322" s="497"/>
      <c r="AA322" s="497"/>
      <c r="AB322" s="485"/>
      <c r="AC322" s="1114"/>
    </row>
    <row r="323" spans="1:34" ht="15.75" customHeight="1" thickBot="1">
      <c r="A323" s="1114"/>
      <c r="B323" s="1114"/>
      <c r="C323" s="1114"/>
      <c r="D323" s="488"/>
      <c r="E323" s="1219"/>
      <c r="F323" s="1219"/>
      <c r="G323" s="1219"/>
      <c r="H323" s="1219"/>
      <c r="I323" s="1237"/>
      <c r="J323" s="1240" t="s">
        <v>1132</v>
      </c>
      <c r="K323" s="544" t="s">
        <v>670</v>
      </c>
      <c r="L323" s="1227" t="s">
        <v>1427</v>
      </c>
      <c r="M323" s="1228"/>
      <c r="N323" s="1228"/>
      <c r="O323" s="1228"/>
      <c r="P323" s="1229"/>
      <c r="Q323" s="497"/>
      <c r="R323" s="1094" t="s">
        <v>1145</v>
      </c>
      <c r="S323" s="543"/>
      <c r="T323" s="542">
        <f>IF($R323="ja",1,IF($R323="neen",0,IF($R323="ja&gt;75%",0.75,IF($R323="ja&gt;50%",0.5,IF($R323="ja&gt;25%",0.25,IF($R323="à encoder","/"))))))</f>
        <v>0.25</v>
      </c>
      <c r="U323" s="541"/>
      <c r="V323" s="541"/>
      <c r="W323" s="541"/>
      <c r="X323" s="541"/>
      <c r="Y323" s="541"/>
      <c r="Z323" s="540"/>
      <c r="AA323" s="539"/>
      <c r="AB323" s="485"/>
      <c r="AC323" s="1114"/>
      <c r="AE323" s="537"/>
      <c r="AF323" s="538"/>
      <c r="AH323" s="537"/>
    </row>
    <row r="324" spans="1:34" ht="15.75" customHeight="1" thickBot="1">
      <c r="A324" s="1114"/>
      <c r="B324" s="1114"/>
      <c r="C324" s="1114"/>
      <c r="D324" s="488"/>
      <c r="E324" s="1219"/>
      <c r="F324" s="1219"/>
      <c r="G324" s="1219"/>
      <c r="H324" s="1219"/>
      <c r="I324" s="1237"/>
      <c r="J324" s="1241"/>
      <c r="K324" s="532" t="s">
        <v>669</v>
      </c>
      <c r="L324" s="1230" t="s">
        <v>1428</v>
      </c>
      <c r="M324" s="1231"/>
      <c r="N324" s="1231"/>
      <c r="O324" s="1231"/>
      <c r="P324" s="1232"/>
      <c r="Q324" s="497"/>
      <c r="R324" s="1094" t="s">
        <v>1145</v>
      </c>
      <c r="S324" s="534"/>
      <c r="T324" s="533">
        <f>IF($R324="ja",1,IF($R324="neen",0,IF($R324="ja&gt;75%",0.75,IF($R324="ja&gt;50%",0.5,IF($R324="ja&gt;25%",0.25,IF($R324="à encoder","/"))))))</f>
        <v>0.25</v>
      </c>
      <c r="U324" s="523"/>
      <c r="V324" s="523"/>
      <c r="W324" s="523"/>
      <c r="X324" s="523"/>
      <c r="Y324" s="523"/>
      <c r="Z324" s="523"/>
      <c r="AA324" s="536"/>
      <c r="AB324" s="485"/>
      <c r="AC324" s="1114"/>
      <c r="AF324" s="535"/>
    </row>
    <row r="325" spans="1:34" ht="15.75" customHeight="1" thickBot="1">
      <c r="A325" s="1114"/>
      <c r="B325" s="1114"/>
      <c r="C325" s="1114"/>
      <c r="D325" s="488"/>
      <c r="E325" s="1219"/>
      <c r="F325" s="1219"/>
      <c r="G325" s="1219"/>
      <c r="H325" s="1219"/>
      <c r="I325" s="1237"/>
      <c r="J325" s="1241"/>
      <c r="K325" s="532" t="s">
        <v>668</v>
      </c>
      <c r="L325" s="1230" t="s">
        <v>1429</v>
      </c>
      <c r="M325" s="1231"/>
      <c r="N325" s="1231"/>
      <c r="O325" s="1231"/>
      <c r="P325" s="1232"/>
      <c r="Q325" s="497"/>
      <c r="R325" s="1094" t="s">
        <v>1146</v>
      </c>
      <c r="S325" s="534"/>
      <c r="T325" s="533">
        <f>IF($R325="ja",1,IF($R325="neen",0,IF($R325="ja&gt;75%",0.75,IF($R325="ja&gt;50%",0.5,IF($R325="ja&gt;25%",0.25,IF($R325="à encoder","/"))))))</f>
        <v>0.5</v>
      </c>
      <c r="U325" s="528"/>
      <c r="V325" s="523"/>
      <c r="W325" s="523"/>
      <c r="X325" s="523"/>
      <c r="Y325" s="523"/>
      <c r="Z325" s="523"/>
      <c r="AA325" s="530"/>
      <c r="AB325" s="485"/>
      <c r="AC325" s="1114"/>
    </row>
    <row r="326" spans="1:34" ht="15.75" customHeight="1" thickBot="1">
      <c r="A326" s="1114"/>
      <c r="B326" s="1114"/>
      <c r="C326" s="1114"/>
      <c r="D326" s="488"/>
      <c r="E326" s="1219"/>
      <c r="F326" s="1219"/>
      <c r="G326" s="1219"/>
      <c r="H326" s="1219"/>
      <c r="I326" s="1237"/>
      <c r="J326" s="1241"/>
      <c r="K326" s="532" t="s">
        <v>667</v>
      </c>
      <c r="L326" s="1230" t="s">
        <v>1430</v>
      </c>
      <c r="M326" s="1231"/>
      <c r="N326" s="1231"/>
      <c r="O326" s="1231"/>
      <c r="P326" s="1232"/>
      <c r="Q326" s="497"/>
      <c r="R326" s="1094" t="s">
        <v>1096</v>
      </c>
      <c r="S326" s="534"/>
      <c r="T326" s="533">
        <f>IF($R326="ja",1,IF($R326="neen",0,IF($R326="ja&gt;75%",0.75,IF($R326="ja&gt;50%",0.5,IF($R326="ja&gt;25%",0.25,IF($R326="à encoder","/"))))))</f>
        <v>0</v>
      </c>
      <c r="U326" s="528"/>
      <c r="V326" s="523"/>
      <c r="W326" s="523"/>
      <c r="X326" s="523"/>
      <c r="Y326" s="523"/>
      <c r="Z326" s="523"/>
      <c r="AA326" s="530"/>
      <c r="AB326" s="485"/>
      <c r="AC326" s="1114"/>
    </row>
    <row r="327" spans="1:34" ht="15.75" customHeight="1" thickBot="1">
      <c r="A327" s="1114"/>
      <c r="B327" s="1114"/>
      <c r="C327" s="1114"/>
      <c r="D327" s="488"/>
      <c r="E327" s="1219"/>
      <c r="F327" s="1219"/>
      <c r="G327" s="1219"/>
      <c r="H327" s="1219"/>
      <c r="I327" s="1238"/>
      <c r="J327" s="1241"/>
      <c r="K327" s="532" t="s">
        <v>666</v>
      </c>
      <c r="L327" s="1230" t="s">
        <v>1431</v>
      </c>
      <c r="M327" s="1231"/>
      <c r="N327" s="1231"/>
      <c r="O327" s="1231"/>
      <c r="P327" s="1232"/>
      <c r="Q327" s="497"/>
      <c r="R327" s="1093" t="s">
        <v>1095</v>
      </c>
      <c r="S327" s="528"/>
      <c r="T327" s="528"/>
      <c r="U327" s="531" t="s">
        <v>665</v>
      </c>
      <c r="V327" s="523" t="s">
        <v>664</v>
      </c>
      <c r="W327" s="523" t="s">
        <v>663</v>
      </c>
      <c r="X327" s="523" t="s">
        <v>662</v>
      </c>
      <c r="Y327" s="523"/>
      <c r="Z327" s="523"/>
      <c r="AA327" s="530" t="s">
        <v>391</v>
      </c>
      <c r="AB327" s="485"/>
      <c r="AC327" s="1114"/>
    </row>
    <row r="328" spans="1:34" ht="15.75" customHeight="1" thickBot="1">
      <c r="A328" s="1114"/>
      <c r="B328" s="1114"/>
      <c r="C328" s="1114"/>
      <c r="D328" s="488"/>
      <c r="E328" s="1220"/>
      <c r="F328" s="1220"/>
      <c r="G328" s="1220"/>
      <c r="H328" s="1220"/>
      <c r="I328" s="1239"/>
      <c r="J328" s="1242"/>
      <c r="K328" s="529" t="s">
        <v>661</v>
      </c>
      <c r="L328" s="1233" t="s">
        <v>1432</v>
      </c>
      <c r="M328" s="1234"/>
      <c r="N328" s="1234"/>
      <c r="O328" s="1234"/>
      <c r="P328" s="1235"/>
      <c r="Q328" s="497"/>
      <c r="R328" s="1093" t="s">
        <v>1096</v>
      </c>
      <c r="S328" s="528"/>
      <c r="T328" s="527"/>
      <c r="U328" s="526">
        <f>IF(OR(T323="/",T324="/",T325="/"),"/",SUM(T323:T325)/3)</f>
        <v>0.33333333333333331</v>
      </c>
      <c r="V328" s="525">
        <f>IF(R326="à encoder ","/",T326)</f>
        <v>0</v>
      </c>
      <c r="W328" s="524" t="str">
        <f>IF(R327="à encoder","/",R327)</f>
        <v>ja</v>
      </c>
      <c r="X328" s="524" t="str">
        <f>IF(R328="à encoder","/",R328)</f>
        <v>neen</v>
      </c>
      <c r="Y328" s="523"/>
      <c r="Z328" s="523"/>
      <c r="AA328" s="522" t="str">
        <f>IF(OR(U328="/",V328="/",W328="/",X328="/"),"/",IF(AND((U328&gt;=75%),(V328&gt;=75%),(W328="ja"),(X328="ja")),"4",IF(AND((U328&gt;=45%),(V328&gt;=50%),(W328="ja")),"3",IF(AND((U328&gt;=30%),(V328&gt;=25%)),"2",IF((U328&gt;=15%),"1",0)))))</f>
        <v>1</v>
      </c>
      <c r="AB328" s="485"/>
      <c r="AC328" s="1114"/>
    </row>
    <row r="329" spans="1:34" ht="15.75" customHeight="1" thickBot="1">
      <c r="A329" s="1114"/>
      <c r="B329" s="1114"/>
      <c r="C329" s="1114"/>
      <c r="D329" s="488"/>
      <c r="E329" s="497"/>
      <c r="F329" s="497"/>
      <c r="G329" s="497"/>
      <c r="H329" s="497"/>
      <c r="I329" s="497"/>
      <c r="J329" s="497"/>
      <c r="K329" s="504"/>
      <c r="L329" s="497"/>
      <c r="M329" s="497"/>
      <c r="N329" s="497"/>
      <c r="O329" s="497"/>
      <c r="P329" s="497"/>
      <c r="Q329" s="497"/>
      <c r="R329" s="521"/>
      <c r="S329" s="520"/>
      <c r="T329" s="520"/>
      <c r="U329" s="519" t="s">
        <v>1510</v>
      </c>
      <c r="V329" s="519" t="s">
        <v>1511</v>
      </c>
      <c r="W329" s="519" t="s">
        <v>1512</v>
      </c>
      <c r="X329" s="519" t="s">
        <v>660</v>
      </c>
      <c r="Y329" s="520"/>
      <c r="Z329" s="519"/>
      <c r="AA329" s="518"/>
      <c r="AB329" s="485"/>
      <c r="AC329" s="1114"/>
    </row>
    <row r="330" spans="1:34">
      <c r="A330" s="1114"/>
      <c r="B330" s="1114"/>
      <c r="C330" s="1114"/>
      <c r="D330" s="488"/>
      <c r="E330" s="497"/>
      <c r="F330" s="497"/>
      <c r="G330" s="497"/>
      <c r="H330" s="497"/>
      <c r="I330" s="497"/>
      <c r="J330" s="497"/>
      <c r="K330" s="504"/>
      <c r="L330" s="497"/>
      <c r="M330" s="497"/>
      <c r="N330" s="497"/>
      <c r="O330" s="497"/>
      <c r="P330" s="497"/>
      <c r="Q330" s="497"/>
      <c r="AB330" s="485"/>
      <c r="AC330" s="1114"/>
    </row>
    <row r="331" spans="1:34" ht="15.75" thickBot="1">
      <c r="A331" s="1114"/>
      <c r="B331" s="1114"/>
      <c r="C331" s="1114"/>
      <c r="D331" s="517"/>
      <c r="E331" s="508"/>
      <c r="F331" s="508"/>
      <c r="G331" s="508"/>
      <c r="H331" s="508"/>
      <c r="I331" s="508"/>
      <c r="J331" s="508"/>
      <c r="K331" s="516"/>
      <c r="L331" s="508"/>
      <c r="M331" s="508"/>
      <c r="N331" s="508"/>
      <c r="O331" s="508"/>
      <c r="P331" s="508"/>
      <c r="Q331" s="508"/>
      <c r="R331" s="515"/>
      <c r="S331" s="508"/>
      <c r="T331" s="515"/>
      <c r="U331" s="515"/>
      <c r="V331" s="508"/>
      <c r="W331" s="508"/>
      <c r="X331" s="508"/>
      <c r="Y331" s="508"/>
      <c r="Z331" s="508"/>
      <c r="AA331" s="508"/>
      <c r="AB331" s="514"/>
      <c r="AC331" s="1114"/>
    </row>
    <row r="332" spans="1:34">
      <c r="A332" s="1114"/>
      <c r="B332" s="1114"/>
      <c r="C332" s="1114"/>
      <c r="D332" s="1119"/>
      <c r="E332" s="1119"/>
      <c r="F332" s="1119"/>
      <c r="G332" s="1119"/>
      <c r="H332" s="1119"/>
      <c r="I332" s="1119"/>
      <c r="J332" s="1119"/>
      <c r="K332" s="1120"/>
      <c r="L332" s="1119"/>
      <c r="M332" s="1119"/>
      <c r="N332" s="1119"/>
      <c r="O332" s="1119"/>
      <c r="P332" s="1119"/>
      <c r="Q332" s="1119"/>
      <c r="R332" s="1121"/>
      <c r="S332" s="1119"/>
      <c r="T332" s="1121"/>
      <c r="U332" s="1121"/>
      <c r="V332" s="1119"/>
      <c r="W332" s="1119"/>
      <c r="X332" s="1119"/>
      <c r="Y332" s="1119"/>
      <c r="Z332" s="1119"/>
      <c r="AA332" s="1119"/>
      <c r="AB332" s="1119"/>
      <c r="AC332" s="1114"/>
    </row>
    <row r="333" spans="1:34">
      <c r="A333" s="1126"/>
      <c r="B333" s="1126"/>
      <c r="C333" s="1126"/>
      <c r="D333" s="1127"/>
      <c r="E333" s="1127"/>
      <c r="F333" s="1127"/>
      <c r="G333" s="1127"/>
      <c r="H333" s="1127"/>
      <c r="I333" s="1127"/>
      <c r="J333" s="1127"/>
      <c r="K333" s="1128"/>
      <c r="L333" s="1127"/>
      <c r="M333" s="1127"/>
      <c r="N333" s="1127"/>
      <c r="O333" s="1127"/>
      <c r="P333" s="1127"/>
      <c r="Q333" s="1127"/>
      <c r="R333" s="1129"/>
      <c r="S333" s="1127"/>
      <c r="T333" s="1129"/>
      <c r="U333" s="1129"/>
      <c r="V333" s="1127"/>
      <c r="W333" s="1127"/>
      <c r="X333" s="1127"/>
      <c r="Y333" s="1127"/>
      <c r="Z333" s="1127"/>
      <c r="AA333" s="1127"/>
      <c r="AB333" s="1127"/>
      <c r="AC333" s="1126"/>
    </row>
    <row r="334" spans="1:34">
      <c r="A334" s="1126"/>
      <c r="B334" s="1126"/>
      <c r="C334" s="1126"/>
      <c r="D334" s="497"/>
      <c r="E334" s="497"/>
      <c r="F334" s="497"/>
      <c r="G334" s="497"/>
      <c r="H334" s="497"/>
      <c r="I334" s="497"/>
      <c r="J334" s="497"/>
      <c r="K334" s="504"/>
      <c r="L334" s="497"/>
      <c r="M334" s="497"/>
      <c r="N334" s="497"/>
      <c r="O334" s="497"/>
      <c r="P334" s="497"/>
      <c r="Q334" s="497"/>
      <c r="R334" s="496"/>
      <c r="S334" s="497"/>
      <c r="T334" s="496"/>
      <c r="U334" s="496"/>
      <c r="V334" s="497"/>
      <c r="W334" s="497"/>
      <c r="X334" s="497"/>
      <c r="Y334" s="497"/>
      <c r="Z334" s="497"/>
      <c r="AA334" s="497"/>
      <c r="AB334" s="497"/>
      <c r="AC334" s="1126"/>
    </row>
    <row r="335" spans="1:34">
      <c r="A335" s="1126"/>
      <c r="B335" s="1126"/>
      <c r="C335" s="1126"/>
      <c r="D335" s="497"/>
      <c r="E335" s="497"/>
      <c r="F335" s="497"/>
      <c r="G335" s="497"/>
      <c r="H335" s="497"/>
      <c r="I335" s="497"/>
      <c r="J335" s="497"/>
      <c r="K335" s="504"/>
      <c r="L335" s="497"/>
      <c r="M335" s="497"/>
      <c r="N335" s="497"/>
      <c r="O335" s="497"/>
      <c r="P335" s="497"/>
      <c r="Q335" s="497"/>
      <c r="R335" s="496"/>
      <c r="S335" s="497"/>
      <c r="T335" s="496"/>
      <c r="U335" s="496"/>
      <c r="V335" s="497"/>
      <c r="W335" s="497"/>
      <c r="X335" s="497"/>
      <c r="Y335" s="497"/>
      <c r="Z335" s="497"/>
      <c r="AA335" s="497"/>
      <c r="AB335" s="497"/>
      <c r="AC335" s="1126"/>
    </row>
    <row r="336" spans="1:34">
      <c r="A336" s="1126"/>
      <c r="B336" s="1126"/>
      <c r="C336" s="1126"/>
      <c r="D336" s="497"/>
      <c r="E336" s="497"/>
      <c r="F336" s="497"/>
      <c r="G336" s="497"/>
      <c r="H336" s="497"/>
      <c r="I336" s="497"/>
      <c r="J336" s="497"/>
      <c r="K336" s="504"/>
      <c r="L336" s="497"/>
      <c r="M336" s="497"/>
      <c r="N336" s="497"/>
      <c r="O336" s="497"/>
      <c r="P336" s="497"/>
      <c r="Q336" s="497"/>
      <c r="R336" s="496"/>
      <c r="S336" s="497"/>
      <c r="T336" s="496"/>
      <c r="U336" s="496"/>
      <c r="V336" s="497"/>
      <c r="W336" s="497"/>
      <c r="X336" s="497"/>
      <c r="Y336" s="497"/>
      <c r="Z336" s="497"/>
      <c r="AA336" s="497"/>
      <c r="AB336" s="497"/>
      <c r="AC336" s="1126"/>
    </row>
    <row r="337" spans="1:29">
      <c r="A337" s="1126"/>
      <c r="B337" s="1126"/>
      <c r="C337" s="1126"/>
      <c r="D337" s="497"/>
      <c r="E337" s="497"/>
      <c r="F337" s="497"/>
      <c r="G337" s="497"/>
      <c r="H337" s="497"/>
      <c r="I337" s="497"/>
      <c r="J337" s="497"/>
      <c r="K337" s="504"/>
      <c r="L337" s="497"/>
      <c r="M337" s="497"/>
      <c r="N337" s="497"/>
      <c r="O337" s="497"/>
      <c r="P337" s="497"/>
      <c r="Q337" s="497"/>
      <c r="R337" s="496"/>
      <c r="S337" s="497"/>
      <c r="T337" s="496"/>
      <c r="U337" s="496"/>
      <c r="V337" s="497"/>
      <c r="W337" s="497"/>
      <c r="X337" s="497"/>
      <c r="Y337" s="497"/>
      <c r="Z337" s="497"/>
      <c r="AA337" s="497"/>
      <c r="AB337" s="497"/>
      <c r="AC337" s="1126"/>
    </row>
    <row r="338" spans="1:29">
      <c r="A338" s="1126"/>
      <c r="B338" s="1126"/>
      <c r="C338" s="1126"/>
      <c r="D338" s="497"/>
      <c r="E338" s="497"/>
      <c r="F338" s="497"/>
      <c r="G338" s="497"/>
      <c r="H338" s="497"/>
      <c r="I338" s="497"/>
      <c r="J338" s="497"/>
      <c r="K338" s="504"/>
      <c r="L338" s="497"/>
      <c r="M338" s="497"/>
      <c r="N338" s="497"/>
      <c r="O338" s="497"/>
      <c r="P338" s="497"/>
      <c r="Q338" s="497"/>
      <c r="R338" s="496"/>
      <c r="S338" s="497"/>
      <c r="T338" s="496"/>
      <c r="U338" s="496"/>
      <c r="V338" s="497"/>
      <c r="W338" s="497"/>
      <c r="X338" s="497"/>
      <c r="Y338" s="497"/>
      <c r="Z338" s="497"/>
      <c r="AA338" s="497"/>
      <c r="AB338" s="497"/>
      <c r="AC338" s="1126"/>
    </row>
    <row r="339" spans="1:29">
      <c r="A339" s="1126"/>
      <c r="B339" s="1126"/>
      <c r="C339" s="1126"/>
      <c r="D339" s="497"/>
      <c r="E339" s="497"/>
      <c r="F339" s="497"/>
      <c r="G339" s="497"/>
      <c r="H339" s="497"/>
      <c r="I339" s="497"/>
      <c r="J339" s="497"/>
      <c r="K339" s="504"/>
      <c r="L339" s="497"/>
      <c r="M339" s="497"/>
      <c r="N339" s="497"/>
      <c r="O339" s="497"/>
      <c r="P339" s="497"/>
      <c r="Q339" s="497"/>
      <c r="R339" s="496"/>
      <c r="S339" s="497"/>
      <c r="T339" s="496"/>
      <c r="U339" s="496"/>
      <c r="V339" s="497"/>
      <c r="W339" s="497"/>
      <c r="X339" s="497"/>
      <c r="Y339" s="497"/>
      <c r="Z339" s="497"/>
      <c r="AA339" s="497"/>
      <c r="AB339" s="497"/>
      <c r="AC339" s="1126"/>
    </row>
    <row r="340" spans="1:29">
      <c r="A340" s="1126"/>
      <c r="B340" s="1126"/>
      <c r="C340" s="1126"/>
      <c r="D340" s="497"/>
      <c r="E340" s="497"/>
      <c r="F340" s="497"/>
      <c r="G340" s="497"/>
      <c r="H340" s="497"/>
      <c r="I340" s="497"/>
      <c r="J340" s="497"/>
      <c r="K340" s="504"/>
      <c r="L340" s="497"/>
      <c r="M340" s="497"/>
      <c r="N340" s="497"/>
      <c r="O340" s="497"/>
      <c r="P340" s="497"/>
      <c r="Q340" s="497"/>
      <c r="R340" s="496"/>
      <c r="S340" s="497"/>
      <c r="T340" s="496"/>
      <c r="U340" s="496"/>
      <c r="V340" s="497"/>
      <c r="W340" s="497"/>
      <c r="X340" s="497"/>
      <c r="Y340" s="497"/>
      <c r="Z340" s="497"/>
      <c r="AA340" s="497"/>
      <c r="AB340" s="497"/>
      <c r="AC340" s="1126"/>
    </row>
    <row r="341" spans="1:29">
      <c r="A341" s="1126"/>
      <c r="B341" s="1126"/>
      <c r="C341" s="1126"/>
      <c r="D341" s="497"/>
      <c r="E341" s="497"/>
      <c r="F341" s="497"/>
      <c r="G341" s="497"/>
      <c r="H341" s="497"/>
      <c r="I341" s="497"/>
      <c r="J341" s="497"/>
      <c r="K341" s="504"/>
      <c r="L341" s="497"/>
      <c r="M341" s="497"/>
      <c r="N341" s="497"/>
      <c r="O341" s="497"/>
      <c r="P341" s="497"/>
      <c r="Q341" s="497"/>
      <c r="R341" s="496"/>
      <c r="S341" s="497"/>
      <c r="T341" s="496"/>
      <c r="U341" s="496"/>
      <c r="V341" s="497"/>
      <c r="W341" s="497"/>
      <c r="X341" s="497"/>
      <c r="Y341" s="497"/>
      <c r="Z341" s="497"/>
      <c r="AA341" s="497"/>
      <c r="AB341" s="497"/>
      <c r="AC341" s="1126"/>
    </row>
    <row r="342" spans="1:29">
      <c r="A342" s="1126"/>
      <c r="B342" s="1126"/>
      <c r="C342" s="1126"/>
      <c r="D342" s="497"/>
      <c r="E342" s="497"/>
      <c r="F342" s="497"/>
      <c r="G342" s="497"/>
      <c r="H342" s="497"/>
      <c r="I342" s="497"/>
      <c r="J342" s="497"/>
      <c r="K342" s="504"/>
      <c r="L342" s="497"/>
      <c r="M342" s="497"/>
      <c r="N342" s="497"/>
      <c r="O342" s="497"/>
      <c r="P342" s="497"/>
      <c r="Q342" s="497"/>
      <c r="R342" s="496"/>
      <c r="S342" s="497"/>
      <c r="T342" s="496"/>
      <c r="U342" s="496"/>
      <c r="V342" s="497"/>
      <c r="W342" s="497"/>
      <c r="X342" s="497"/>
      <c r="Y342" s="497"/>
      <c r="Z342" s="497"/>
      <c r="AA342" s="497"/>
      <c r="AB342" s="497"/>
      <c r="AC342" s="1126"/>
    </row>
    <row r="343" spans="1:29">
      <c r="A343" s="1126"/>
      <c r="B343" s="1126"/>
      <c r="C343" s="1126"/>
      <c r="D343" s="497"/>
      <c r="E343" s="497"/>
      <c r="F343" s="497"/>
      <c r="G343" s="497"/>
      <c r="H343" s="497"/>
      <c r="I343" s="497"/>
      <c r="J343" s="497"/>
      <c r="K343" s="504"/>
      <c r="L343" s="497"/>
      <c r="M343" s="497"/>
      <c r="N343" s="497"/>
      <c r="O343" s="497"/>
      <c r="P343" s="497"/>
      <c r="Q343" s="497"/>
      <c r="R343" s="496"/>
      <c r="S343" s="497"/>
      <c r="T343" s="496"/>
      <c r="U343" s="496"/>
      <c r="V343" s="497"/>
      <c r="W343" s="497"/>
      <c r="X343" s="497"/>
      <c r="Y343" s="497"/>
      <c r="Z343" s="497"/>
      <c r="AA343" s="497"/>
      <c r="AB343" s="497"/>
      <c r="AC343" s="1126"/>
    </row>
    <row r="344" spans="1:29">
      <c r="A344" s="1126"/>
      <c r="B344" s="1126"/>
      <c r="C344" s="1126"/>
      <c r="D344" s="497"/>
      <c r="E344" s="497"/>
      <c r="F344" s="497"/>
      <c r="G344" s="497"/>
      <c r="H344" s="497"/>
      <c r="I344" s="497"/>
      <c r="J344" s="497"/>
      <c r="K344" s="504"/>
      <c r="L344" s="497"/>
      <c r="M344" s="497"/>
      <c r="N344" s="497"/>
      <c r="O344" s="497"/>
      <c r="P344" s="497"/>
      <c r="Q344" s="497"/>
      <c r="R344" s="496"/>
      <c r="S344" s="497"/>
      <c r="T344" s="496"/>
      <c r="U344" s="496"/>
      <c r="V344" s="497"/>
      <c r="W344" s="497"/>
      <c r="X344" s="497"/>
      <c r="Y344" s="497"/>
      <c r="Z344" s="497"/>
      <c r="AA344" s="497"/>
      <c r="AB344" s="497"/>
      <c r="AC344" s="1126"/>
    </row>
    <row r="345" spans="1:29">
      <c r="A345" s="1126"/>
      <c r="B345" s="1126"/>
      <c r="C345" s="1126"/>
      <c r="D345" s="497"/>
      <c r="E345" s="497"/>
      <c r="F345" s="497"/>
      <c r="G345" s="497"/>
      <c r="H345" s="497"/>
      <c r="I345" s="497"/>
      <c r="J345" s="497"/>
      <c r="K345" s="504"/>
      <c r="L345" s="497"/>
      <c r="M345" s="497"/>
      <c r="N345" s="497"/>
      <c r="O345" s="497"/>
      <c r="P345" s="497"/>
      <c r="Q345" s="497"/>
      <c r="R345" s="496"/>
      <c r="S345" s="497"/>
      <c r="T345" s="496"/>
      <c r="U345" s="496"/>
      <c r="V345" s="497"/>
      <c r="W345" s="497"/>
      <c r="X345" s="497"/>
      <c r="Y345" s="497"/>
      <c r="Z345" s="497"/>
      <c r="AA345" s="497"/>
      <c r="AB345" s="497"/>
      <c r="AC345" s="1126"/>
    </row>
    <row r="346" spans="1:29">
      <c r="A346" s="1126"/>
      <c r="B346" s="1126"/>
      <c r="C346" s="1126"/>
      <c r="D346" s="497"/>
      <c r="E346" s="497"/>
      <c r="F346" s="497"/>
      <c r="G346" s="497"/>
      <c r="H346" s="497"/>
      <c r="I346" s="497"/>
      <c r="J346" s="497"/>
      <c r="K346" s="504"/>
      <c r="L346" s="497"/>
      <c r="M346" s="497"/>
      <c r="N346" s="497"/>
      <c r="O346" s="497"/>
      <c r="P346" s="497"/>
      <c r="Q346" s="497"/>
      <c r="R346" s="496"/>
      <c r="S346" s="497"/>
      <c r="T346" s="496"/>
      <c r="U346" s="496"/>
      <c r="V346" s="497"/>
      <c r="W346" s="497"/>
      <c r="X346" s="497"/>
      <c r="Y346" s="497"/>
      <c r="Z346" s="497"/>
      <c r="AA346" s="497"/>
      <c r="AB346" s="497"/>
      <c r="AC346" s="1126"/>
    </row>
    <row r="347" spans="1:29">
      <c r="A347" s="1126"/>
      <c r="B347" s="1126"/>
      <c r="C347" s="1126"/>
      <c r="D347" s="497"/>
      <c r="E347" s="497"/>
      <c r="F347" s="497"/>
      <c r="G347" s="497"/>
      <c r="H347" s="497"/>
      <c r="I347" s="497"/>
      <c r="J347" s="497"/>
      <c r="K347" s="504"/>
      <c r="L347" s="497"/>
      <c r="M347" s="497"/>
      <c r="N347" s="497"/>
      <c r="O347" s="497"/>
      <c r="P347" s="497"/>
      <c r="Q347" s="497"/>
      <c r="R347" s="496"/>
      <c r="S347" s="497"/>
      <c r="T347" s="496"/>
      <c r="U347" s="496"/>
      <c r="V347" s="497"/>
      <c r="W347" s="497"/>
      <c r="X347" s="497"/>
      <c r="Y347" s="497"/>
      <c r="Z347" s="497"/>
      <c r="AA347" s="497"/>
      <c r="AB347" s="497"/>
      <c r="AC347" s="1126"/>
    </row>
    <row r="348" spans="1:29">
      <c r="A348" s="1126"/>
      <c r="B348" s="1126"/>
      <c r="C348" s="1126"/>
      <c r="D348" s="497"/>
      <c r="E348" s="497"/>
      <c r="F348" s="497"/>
      <c r="G348" s="497"/>
      <c r="H348" s="497"/>
      <c r="I348" s="497"/>
      <c r="J348" s="497"/>
      <c r="K348" s="504"/>
      <c r="L348" s="497"/>
      <c r="M348" s="497"/>
      <c r="N348" s="497"/>
      <c r="O348" s="497"/>
      <c r="P348" s="497"/>
      <c r="Q348" s="497"/>
      <c r="R348" s="496"/>
      <c r="S348" s="497"/>
      <c r="T348" s="496"/>
      <c r="U348" s="496"/>
      <c r="V348" s="497"/>
      <c r="W348" s="497"/>
      <c r="X348" s="497"/>
      <c r="Y348" s="497"/>
      <c r="Z348" s="497"/>
      <c r="AA348" s="497"/>
      <c r="AB348" s="497"/>
      <c r="AC348" s="1126"/>
    </row>
    <row r="349" spans="1:29">
      <c r="A349" s="1126"/>
      <c r="B349" s="1126"/>
      <c r="C349" s="1126"/>
      <c r="D349" s="497"/>
      <c r="E349" s="497"/>
      <c r="F349" s="497"/>
      <c r="G349" s="497"/>
      <c r="H349" s="497"/>
      <c r="I349" s="497"/>
      <c r="J349" s="497"/>
      <c r="K349" s="504"/>
      <c r="L349" s="497"/>
      <c r="M349" s="497"/>
      <c r="N349" s="497"/>
      <c r="O349" s="497"/>
      <c r="P349" s="497"/>
      <c r="Q349" s="497"/>
      <c r="R349" s="496"/>
      <c r="S349" s="497"/>
      <c r="T349" s="496"/>
      <c r="U349" s="496"/>
      <c r="V349" s="497"/>
      <c r="W349" s="497"/>
      <c r="X349" s="497"/>
      <c r="Y349" s="497"/>
      <c r="Z349" s="497"/>
      <c r="AA349" s="497"/>
      <c r="AB349" s="497"/>
      <c r="AC349" s="1126"/>
    </row>
    <row r="350" spans="1:29">
      <c r="A350" s="1126"/>
      <c r="B350" s="1126"/>
      <c r="C350" s="1126"/>
      <c r="D350" s="497"/>
      <c r="E350" s="497"/>
      <c r="F350" s="497"/>
      <c r="G350" s="497"/>
      <c r="H350" s="497"/>
      <c r="I350" s="497"/>
      <c r="J350" s="497"/>
      <c r="K350" s="504"/>
      <c r="L350" s="497"/>
      <c r="M350" s="497"/>
      <c r="N350" s="497"/>
      <c r="O350" s="497"/>
      <c r="P350" s="497"/>
      <c r="Q350" s="497"/>
      <c r="R350" s="496"/>
      <c r="S350" s="497"/>
      <c r="T350" s="496"/>
      <c r="U350" s="496"/>
      <c r="V350" s="497"/>
      <c r="W350" s="497"/>
      <c r="X350" s="497"/>
      <c r="Y350" s="497"/>
      <c r="Z350" s="497"/>
      <c r="AA350" s="497"/>
      <c r="AB350" s="497"/>
      <c r="AC350" s="1126"/>
    </row>
    <row r="351" spans="1:29">
      <c r="A351" s="1126"/>
      <c r="B351" s="1126"/>
      <c r="C351" s="1126"/>
      <c r="D351" s="497"/>
      <c r="E351" s="497"/>
      <c r="F351" s="497"/>
      <c r="G351" s="497"/>
      <c r="H351" s="497"/>
      <c r="I351" s="497"/>
      <c r="J351" s="497"/>
      <c r="K351" s="504"/>
      <c r="L351" s="497"/>
      <c r="M351" s="497"/>
      <c r="N351" s="497"/>
      <c r="O351" s="497"/>
      <c r="P351" s="497"/>
      <c r="Q351" s="497"/>
      <c r="R351" s="496"/>
      <c r="S351" s="497"/>
      <c r="T351" s="496"/>
      <c r="U351" s="496"/>
      <c r="V351" s="497"/>
      <c r="W351" s="497"/>
      <c r="X351" s="497"/>
      <c r="Y351" s="497"/>
      <c r="Z351" s="497"/>
      <c r="AA351" s="497"/>
      <c r="AB351" s="497"/>
      <c r="AC351" s="1126"/>
    </row>
    <row r="352" spans="1:29">
      <c r="A352" s="1126"/>
      <c r="B352" s="1126"/>
      <c r="C352" s="1126"/>
      <c r="D352" s="497"/>
      <c r="E352" s="497"/>
      <c r="F352" s="497"/>
      <c r="G352" s="497"/>
      <c r="H352" s="497"/>
      <c r="I352" s="497"/>
      <c r="J352" s="497"/>
      <c r="K352" s="504"/>
      <c r="L352" s="497"/>
      <c r="M352" s="497"/>
      <c r="N352" s="497"/>
      <c r="O352" s="497"/>
      <c r="P352" s="497"/>
      <c r="Q352" s="497"/>
      <c r="R352" s="496"/>
      <c r="S352" s="497"/>
      <c r="T352" s="496"/>
      <c r="U352" s="496"/>
      <c r="V352" s="497"/>
      <c r="W352" s="497"/>
      <c r="X352" s="497"/>
      <c r="Y352" s="497"/>
      <c r="Z352" s="497"/>
      <c r="AA352" s="497"/>
      <c r="AB352" s="497"/>
      <c r="AC352" s="1126"/>
    </row>
    <row r="353" spans="1:29">
      <c r="A353" s="1126"/>
      <c r="B353" s="1126"/>
      <c r="C353" s="1126"/>
      <c r="D353" s="497"/>
      <c r="E353" s="497"/>
      <c r="F353" s="497"/>
      <c r="G353" s="497"/>
      <c r="H353" s="497"/>
      <c r="I353" s="497"/>
      <c r="J353" s="497"/>
      <c r="K353" s="504"/>
      <c r="L353" s="497"/>
      <c r="M353" s="497"/>
      <c r="N353" s="497"/>
      <c r="O353" s="497"/>
      <c r="P353" s="497"/>
      <c r="Q353" s="497"/>
      <c r="R353" s="496"/>
      <c r="S353" s="497"/>
      <c r="T353" s="496"/>
      <c r="U353" s="496"/>
      <c r="V353" s="497"/>
      <c r="W353" s="497"/>
      <c r="X353" s="497"/>
      <c r="Y353" s="497"/>
      <c r="Z353" s="497"/>
      <c r="AA353" s="497"/>
      <c r="AB353" s="497"/>
      <c r="AC353" s="1126"/>
    </row>
    <row r="354" spans="1:29">
      <c r="A354" s="1126"/>
      <c r="B354" s="1126"/>
      <c r="C354" s="1126"/>
      <c r="D354" s="497"/>
      <c r="E354" s="497"/>
      <c r="F354" s="497"/>
      <c r="G354" s="497"/>
      <c r="H354" s="497"/>
      <c r="I354" s="497"/>
      <c r="J354" s="497"/>
      <c r="K354" s="504"/>
      <c r="L354" s="497"/>
      <c r="M354" s="497"/>
      <c r="N354" s="497"/>
      <c r="O354" s="497"/>
      <c r="P354" s="497"/>
      <c r="Q354" s="497"/>
      <c r="R354" s="496"/>
      <c r="S354" s="497"/>
      <c r="T354" s="496"/>
      <c r="U354" s="496"/>
      <c r="V354" s="497"/>
      <c r="W354" s="497"/>
      <c r="X354" s="497"/>
      <c r="Y354" s="497"/>
      <c r="Z354" s="497"/>
      <c r="AA354" s="497"/>
      <c r="AB354" s="497"/>
      <c r="AC354" s="1126"/>
    </row>
    <row r="355" spans="1:29">
      <c r="A355" s="1126"/>
      <c r="B355" s="1126"/>
      <c r="C355" s="1126"/>
      <c r="D355" s="497"/>
      <c r="E355" s="497"/>
      <c r="F355" s="497"/>
      <c r="G355" s="497"/>
      <c r="H355" s="497"/>
      <c r="I355" s="497"/>
      <c r="J355" s="497"/>
      <c r="K355" s="504"/>
      <c r="L355" s="497"/>
      <c r="M355" s="497"/>
      <c r="N355" s="497"/>
      <c r="O355" s="497"/>
      <c r="P355" s="497"/>
      <c r="Q355" s="497"/>
      <c r="R355" s="496"/>
      <c r="S355" s="497"/>
      <c r="T355" s="496"/>
      <c r="U355" s="496"/>
      <c r="V355" s="497"/>
      <c r="W355" s="497"/>
      <c r="X355" s="497"/>
      <c r="Y355" s="497"/>
      <c r="Z355" s="497"/>
      <c r="AA355" s="497"/>
      <c r="AB355" s="497"/>
      <c r="AC355" s="1126"/>
    </row>
    <row r="356" spans="1:29">
      <c r="A356" s="1126"/>
      <c r="B356" s="1126"/>
      <c r="C356" s="1126"/>
      <c r="D356" s="497"/>
      <c r="E356" s="497"/>
      <c r="F356" s="497"/>
      <c r="G356" s="497"/>
      <c r="H356" s="497"/>
      <c r="I356" s="497"/>
      <c r="J356" s="497"/>
      <c r="K356" s="504"/>
      <c r="L356" s="497"/>
      <c r="M356" s="497"/>
      <c r="N356" s="497"/>
      <c r="O356" s="497"/>
      <c r="P356" s="497"/>
      <c r="Q356" s="497"/>
      <c r="R356" s="496"/>
      <c r="S356" s="497"/>
      <c r="T356" s="496"/>
      <c r="U356" s="496"/>
      <c r="V356" s="497"/>
      <c r="W356" s="497"/>
      <c r="X356" s="497"/>
      <c r="Y356" s="497"/>
      <c r="Z356" s="497"/>
      <c r="AA356" s="497"/>
      <c r="AB356" s="497"/>
      <c r="AC356" s="1126"/>
    </row>
    <row r="357" spans="1:29">
      <c r="A357" s="1126"/>
      <c r="B357" s="1126"/>
      <c r="C357" s="1126"/>
      <c r="D357" s="497"/>
      <c r="E357" s="497"/>
      <c r="F357" s="497"/>
      <c r="G357" s="497"/>
      <c r="H357" s="497"/>
      <c r="I357" s="497"/>
      <c r="J357" s="497"/>
      <c r="K357" s="504"/>
      <c r="L357" s="497"/>
      <c r="M357" s="497"/>
      <c r="N357" s="497"/>
      <c r="O357" s="497"/>
      <c r="P357" s="497"/>
      <c r="Q357" s="497"/>
      <c r="R357" s="496"/>
      <c r="S357" s="497"/>
      <c r="T357" s="496"/>
      <c r="U357" s="496"/>
      <c r="V357" s="497"/>
      <c r="W357" s="497"/>
      <c r="X357" s="497"/>
      <c r="Y357" s="497"/>
      <c r="Z357" s="497"/>
      <c r="AA357" s="497"/>
      <c r="AB357" s="497"/>
      <c r="AC357" s="1126"/>
    </row>
    <row r="358" spans="1:29">
      <c r="A358" s="1126"/>
      <c r="B358" s="1126"/>
      <c r="C358" s="1126"/>
      <c r="D358" s="497"/>
      <c r="E358" s="497"/>
      <c r="F358" s="497"/>
      <c r="G358" s="497"/>
      <c r="H358" s="497"/>
      <c r="I358" s="497"/>
      <c r="J358" s="497"/>
      <c r="K358" s="504"/>
      <c r="L358" s="497"/>
      <c r="M358" s="497"/>
      <c r="N358" s="497"/>
      <c r="O358" s="497"/>
      <c r="P358" s="497"/>
      <c r="Q358" s="497"/>
      <c r="R358" s="496"/>
      <c r="S358" s="497"/>
      <c r="T358" s="496"/>
      <c r="U358" s="496"/>
      <c r="V358" s="497"/>
      <c r="W358" s="497"/>
      <c r="X358" s="497"/>
      <c r="Y358" s="497"/>
      <c r="Z358" s="497"/>
      <c r="AA358" s="497"/>
      <c r="AB358" s="497"/>
      <c r="AC358" s="1126"/>
    </row>
    <row r="359" spans="1:29">
      <c r="A359" s="1126"/>
      <c r="B359" s="1126"/>
      <c r="C359" s="1126"/>
      <c r="D359" s="497"/>
      <c r="E359" s="497"/>
      <c r="F359" s="497"/>
      <c r="G359" s="497"/>
      <c r="H359" s="497"/>
      <c r="I359" s="497"/>
      <c r="J359" s="497"/>
      <c r="K359" s="504"/>
      <c r="L359" s="497"/>
      <c r="M359" s="497"/>
      <c r="N359" s="497"/>
      <c r="O359" s="497"/>
      <c r="P359" s="497"/>
      <c r="Q359" s="497"/>
      <c r="R359" s="496"/>
      <c r="S359" s="497"/>
      <c r="T359" s="496"/>
      <c r="U359" s="496"/>
      <c r="V359" s="497"/>
      <c r="W359" s="497"/>
      <c r="X359" s="497"/>
      <c r="Y359" s="497"/>
      <c r="Z359" s="497"/>
      <c r="AA359" s="497"/>
      <c r="AB359" s="497"/>
      <c r="AC359" s="1126"/>
    </row>
    <row r="360" spans="1:29">
      <c r="A360" s="1126"/>
      <c r="B360" s="1126"/>
      <c r="C360" s="1126"/>
      <c r="D360" s="497"/>
      <c r="E360" s="497"/>
      <c r="F360" s="497"/>
      <c r="G360" s="497"/>
      <c r="H360" s="497"/>
      <c r="I360" s="497"/>
      <c r="J360" s="497"/>
      <c r="K360" s="504"/>
      <c r="L360" s="497"/>
      <c r="M360" s="497"/>
      <c r="N360" s="497"/>
      <c r="O360" s="497"/>
      <c r="P360" s="497"/>
      <c r="Q360" s="497"/>
      <c r="R360" s="496"/>
      <c r="S360" s="497"/>
      <c r="T360" s="496"/>
      <c r="U360" s="496"/>
      <c r="V360" s="497"/>
      <c r="W360" s="497"/>
      <c r="X360" s="497"/>
      <c r="Y360" s="497"/>
      <c r="Z360" s="497"/>
      <c r="AA360" s="497"/>
      <c r="AB360" s="497"/>
      <c r="AC360" s="1126"/>
    </row>
    <row r="361" spans="1:29">
      <c r="A361" s="1126"/>
      <c r="B361" s="1126"/>
      <c r="C361" s="1126"/>
      <c r="D361" s="497"/>
      <c r="E361" s="497"/>
      <c r="F361" s="497"/>
      <c r="G361" s="497"/>
      <c r="H361" s="497"/>
      <c r="I361" s="497"/>
      <c r="J361" s="497"/>
      <c r="K361" s="504"/>
      <c r="L361" s="497"/>
      <c r="M361" s="497"/>
      <c r="N361" s="497"/>
      <c r="O361" s="497"/>
      <c r="P361" s="497"/>
      <c r="Q361" s="497"/>
      <c r="R361" s="496"/>
      <c r="S361" s="497"/>
      <c r="T361" s="496"/>
      <c r="U361" s="496"/>
      <c r="V361" s="497"/>
      <c r="W361" s="497"/>
      <c r="X361" s="497"/>
      <c r="Y361" s="497"/>
      <c r="Z361" s="497"/>
      <c r="AA361" s="497"/>
      <c r="AB361" s="497"/>
      <c r="AC361" s="1126"/>
    </row>
    <row r="362" spans="1:29">
      <c r="A362" s="1126"/>
      <c r="B362" s="1126"/>
      <c r="C362" s="1126"/>
      <c r="D362" s="497"/>
      <c r="E362" s="497"/>
      <c r="F362" s="497"/>
      <c r="G362" s="497"/>
      <c r="H362" s="497"/>
      <c r="I362" s="497"/>
      <c r="J362" s="497"/>
      <c r="K362" s="504"/>
      <c r="L362" s="497"/>
      <c r="M362" s="497"/>
      <c r="N362" s="497"/>
      <c r="O362" s="497"/>
      <c r="P362" s="497"/>
      <c r="Q362" s="497"/>
      <c r="R362" s="496"/>
      <c r="S362" s="497"/>
      <c r="T362" s="496"/>
      <c r="U362" s="496"/>
      <c r="V362" s="497"/>
      <c r="W362" s="497"/>
      <c r="X362" s="497"/>
      <c r="Y362" s="497"/>
      <c r="Z362" s="497"/>
      <c r="AA362" s="497"/>
      <c r="AB362" s="497"/>
      <c r="AC362" s="1126"/>
    </row>
    <row r="363" spans="1:29">
      <c r="A363" s="1126"/>
      <c r="B363" s="1126"/>
      <c r="C363" s="1126"/>
      <c r="D363" s="497"/>
      <c r="E363" s="497"/>
      <c r="F363" s="497"/>
      <c r="G363" s="497"/>
      <c r="H363" s="497"/>
      <c r="I363" s="497"/>
      <c r="J363" s="497"/>
      <c r="K363" s="504"/>
      <c r="L363" s="497"/>
      <c r="M363" s="497"/>
      <c r="N363" s="497"/>
      <c r="O363" s="497"/>
      <c r="P363" s="497"/>
      <c r="Q363" s="497"/>
      <c r="R363" s="496"/>
      <c r="S363" s="497"/>
      <c r="T363" s="496"/>
      <c r="U363" s="496"/>
      <c r="V363" s="497"/>
      <c r="W363" s="497"/>
      <c r="X363" s="497"/>
      <c r="Y363" s="497"/>
      <c r="Z363" s="497"/>
      <c r="AA363" s="497"/>
      <c r="AB363" s="497"/>
      <c r="AC363" s="1126"/>
    </row>
    <row r="364" spans="1:29">
      <c r="A364" s="1126"/>
      <c r="B364" s="1126"/>
      <c r="C364" s="1126"/>
      <c r="D364" s="497"/>
      <c r="E364" s="497"/>
      <c r="F364" s="497"/>
      <c r="G364" s="497"/>
      <c r="H364" s="497"/>
      <c r="I364" s="497"/>
      <c r="J364" s="497"/>
      <c r="K364" s="504"/>
      <c r="L364" s="497"/>
      <c r="M364" s="497"/>
      <c r="N364" s="497"/>
      <c r="O364" s="497"/>
      <c r="P364" s="497"/>
      <c r="Q364" s="497"/>
      <c r="R364" s="496"/>
      <c r="S364" s="497"/>
      <c r="T364" s="496"/>
      <c r="U364" s="496"/>
      <c r="V364" s="497"/>
      <c r="W364" s="497"/>
      <c r="X364" s="497"/>
      <c r="Y364" s="497"/>
      <c r="Z364" s="497"/>
      <c r="AA364" s="497"/>
      <c r="AB364" s="497"/>
      <c r="AC364" s="1126"/>
    </row>
    <row r="365" spans="1:29">
      <c r="A365" s="1126"/>
      <c r="B365" s="1126"/>
      <c r="C365" s="1126"/>
      <c r="D365" s="497"/>
      <c r="E365" s="497"/>
      <c r="F365" s="497"/>
      <c r="G365" s="497"/>
      <c r="H365" s="497"/>
      <c r="I365" s="497"/>
      <c r="J365" s="497"/>
      <c r="K365" s="504"/>
      <c r="L365" s="497"/>
      <c r="M365" s="497"/>
      <c r="N365" s="497"/>
      <c r="O365" s="497"/>
      <c r="P365" s="497"/>
      <c r="Q365" s="497"/>
      <c r="R365" s="496"/>
      <c r="S365" s="497"/>
      <c r="T365" s="496"/>
      <c r="U365" s="496"/>
      <c r="V365" s="497"/>
      <c r="W365" s="497"/>
      <c r="X365" s="497"/>
      <c r="Y365" s="497"/>
      <c r="Z365" s="497"/>
      <c r="AA365" s="497"/>
      <c r="AB365" s="497"/>
      <c r="AC365" s="1126"/>
    </row>
    <row r="366" spans="1:29">
      <c r="A366" s="1126"/>
      <c r="B366" s="1126"/>
      <c r="C366" s="1126"/>
      <c r="D366" s="497"/>
      <c r="E366" s="497"/>
      <c r="F366" s="497"/>
      <c r="G366" s="497"/>
      <c r="H366" s="497"/>
      <c r="I366" s="497"/>
      <c r="J366" s="497"/>
      <c r="K366" s="504"/>
      <c r="L366" s="497"/>
      <c r="M366" s="497"/>
      <c r="N366" s="497"/>
      <c r="O366" s="497"/>
      <c r="P366" s="497"/>
      <c r="Q366" s="497"/>
      <c r="R366" s="496"/>
      <c r="S366" s="497"/>
      <c r="T366" s="496"/>
      <c r="U366" s="496"/>
      <c r="V366" s="497"/>
      <c r="W366" s="497"/>
      <c r="X366" s="497"/>
      <c r="Y366" s="497"/>
      <c r="Z366" s="497"/>
      <c r="AA366" s="497"/>
      <c r="AB366" s="497"/>
      <c r="AC366" s="1126"/>
    </row>
    <row r="367" spans="1:29">
      <c r="A367" s="1126"/>
      <c r="B367" s="1126"/>
      <c r="C367" s="1126"/>
      <c r="D367" s="497"/>
      <c r="E367" s="497"/>
      <c r="F367" s="497"/>
      <c r="G367" s="497"/>
      <c r="H367" s="497"/>
      <c r="I367" s="497"/>
      <c r="J367" s="497"/>
      <c r="K367" s="504"/>
      <c r="L367" s="497"/>
      <c r="M367" s="497"/>
      <c r="N367" s="497"/>
      <c r="O367" s="497"/>
      <c r="P367" s="497"/>
      <c r="Q367" s="497"/>
      <c r="R367" s="496"/>
      <c r="S367" s="497"/>
      <c r="T367" s="496"/>
      <c r="U367" s="496"/>
      <c r="V367" s="497"/>
      <c r="W367" s="497"/>
      <c r="X367" s="497"/>
      <c r="Y367" s="497"/>
      <c r="Z367" s="497"/>
      <c r="AA367" s="497"/>
      <c r="AB367" s="497"/>
      <c r="AC367" s="1126"/>
    </row>
    <row r="368" spans="1:29">
      <c r="A368" s="1126"/>
      <c r="B368" s="1126"/>
      <c r="C368" s="1126"/>
      <c r="D368" s="497"/>
      <c r="E368" s="497"/>
      <c r="F368" s="497"/>
      <c r="G368" s="497"/>
      <c r="H368" s="497"/>
      <c r="I368" s="497"/>
      <c r="J368" s="497"/>
      <c r="K368" s="504"/>
      <c r="L368" s="497"/>
      <c r="M368" s="497"/>
      <c r="N368" s="497"/>
      <c r="O368" s="497"/>
      <c r="P368" s="497"/>
      <c r="Q368" s="497"/>
      <c r="R368" s="496"/>
      <c r="S368" s="497"/>
      <c r="T368" s="496"/>
      <c r="U368" s="496"/>
      <c r="V368" s="497"/>
      <c r="W368" s="497"/>
      <c r="X368" s="497"/>
      <c r="Y368" s="497"/>
      <c r="Z368" s="497"/>
      <c r="AA368" s="497"/>
      <c r="AB368" s="497"/>
      <c r="AC368" s="1126"/>
    </row>
    <row r="369" spans="1:29">
      <c r="A369" s="1126"/>
      <c r="B369" s="1126"/>
      <c r="C369" s="1126"/>
      <c r="D369" s="497"/>
      <c r="E369" s="497"/>
      <c r="F369" s="497"/>
      <c r="G369" s="497"/>
      <c r="H369" s="497"/>
      <c r="I369" s="497"/>
      <c r="J369" s="497"/>
      <c r="K369" s="504"/>
      <c r="L369" s="497"/>
      <c r="M369" s="497"/>
      <c r="N369" s="497"/>
      <c r="O369" s="497"/>
      <c r="P369" s="497"/>
      <c r="Q369" s="497"/>
      <c r="R369" s="496"/>
      <c r="S369" s="497"/>
      <c r="T369" s="496"/>
      <c r="U369" s="496"/>
      <c r="V369" s="497"/>
      <c r="W369" s="497"/>
      <c r="X369" s="497"/>
      <c r="Y369" s="497"/>
      <c r="Z369" s="497"/>
      <c r="AA369" s="497"/>
      <c r="AB369" s="497"/>
      <c r="AC369" s="1126"/>
    </row>
    <row r="370" spans="1:29">
      <c r="A370" s="1126"/>
      <c r="B370" s="1126"/>
      <c r="C370" s="1126"/>
      <c r="D370" s="497"/>
      <c r="E370" s="497"/>
      <c r="F370" s="497"/>
      <c r="G370" s="497"/>
      <c r="H370" s="497"/>
      <c r="I370" s="497"/>
      <c r="J370" s="497"/>
      <c r="K370" s="504"/>
      <c r="L370" s="497"/>
      <c r="M370" s="497"/>
      <c r="N370" s="497"/>
      <c r="O370" s="497"/>
      <c r="P370" s="497"/>
      <c r="Q370" s="497"/>
      <c r="R370" s="496"/>
      <c r="S370" s="497"/>
      <c r="T370" s="496"/>
      <c r="U370" s="496"/>
      <c r="V370" s="497"/>
      <c r="W370" s="497"/>
      <c r="X370" s="497"/>
      <c r="Y370" s="497"/>
      <c r="Z370" s="497"/>
      <c r="AA370" s="497"/>
      <c r="AB370" s="497"/>
      <c r="AC370" s="1126"/>
    </row>
    <row r="371" spans="1:29">
      <c r="A371" s="1126"/>
      <c r="B371" s="1126"/>
      <c r="C371" s="1126"/>
      <c r="D371" s="497"/>
      <c r="E371" s="497"/>
      <c r="F371" s="497"/>
      <c r="G371" s="497"/>
      <c r="H371" s="497"/>
      <c r="I371" s="497"/>
      <c r="J371" s="497"/>
      <c r="K371" s="504"/>
      <c r="L371" s="497"/>
      <c r="M371" s="497"/>
      <c r="N371" s="497"/>
      <c r="O371" s="497"/>
      <c r="P371" s="497"/>
      <c r="Q371" s="497"/>
      <c r="R371" s="496"/>
      <c r="S371" s="497"/>
      <c r="T371" s="496"/>
      <c r="U371" s="496"/>
      <c r="V371" s="497"/>
      <c r="W371" s="497"/>
      <c r="X371" s="497"/>
      <c r="Y371" s="497"/>
      <c r="Z371" s="497"/>
      <c r="AA371" s="497"/>
      <c r="AB371" s="497"/>
      <c r="AC371" s="1126"/>
    </row>
    <row r="372" spans="1:29">
      <c r="A372" s="1126"/>
      <c r="B372" s="1126"/>
      <c r="C372" s="1126"/>
      <c r="D372" s="497"/>
      <c r="E372" s="497"/>
      <c r="F372" s="497"/>
      <c r="G372" s="497"/>
      <c r="H372" s="497"/>
      <c r="I372" s="497"/>
      <c r="J372" s="497"/>
      <c r="K372" s="504"/>
      <c r="L372" s="497"/>
      <c r="M372" s="497"/>
      <c r="N372" s="497"/>
      <c r="O372" s="497"/>
      <c r="P372" s="497"/>
      <c r="Q372" s="497"/>
      <c r="R372" s="496"/>
      <c r="S372" s="497"/>
      <c r="T372" s="496"/>
      <c r="U372" s="496"/>
      <c r="V372" s="497"/>
      <c r="W372" s="497"/>
      <c r="X372" s="497"/>
      <c r="Y372" s="497"/>
      <c r="Z372" s="497"/>
      <c r="AA372" s="497"/>
      <c r="AB372" s="497"/>
      <c r="AC372" s="1126"/>
    </row>
    <row r="373" spans="1:29">
      <c r="A373" s="1126"/>
      <c r="B373" s="1126"/>
      <c r="C373" s="1126"/>
      <c r="D373" s="497"/>
      <c r="E373" s="497"/>
      <c r="F373" s="497"/>
      <c r="G373" s="497"/>
      <c r="H373" s="497"/>
      <c r="I373" s="497"/>
      <c r="J373" s="497"/>
      <c r="K373" s="504"/>
      <c r="L373" s="497"/>
      <c r="M373" s="497"/>
      <c r="N373" s="497"/>
      <c r="O373" s="497"/>
      <c r="P373" s="497"/>
      <c r="Q373" s="497"/>
      <c r="R373" s="496"/>
      <c r="S373" s="497"/>
      <c r="T373" s="496"/>
      <c r="U373" s="496"/>
      <c r="V373" s="497"/>
      <c r="W373" s="497"/>
      <c r="X373" s="497"/>
      <c r="Y373" s="497"/>
      <c r="Z373" s="497"/>
      <c r="AA373" s="497"/>
      <c r="AB373" s="497"/>
      <c r="AC373" s="1126"/>
    </row>
    <row r="374" spans="1:29">
      <c r="A374" s="1126"/>
      <c r="B374" s="1126"/>
      <c r="C374" s="1126"/>
      <c r="D374" s="1127"/>
      <c r="E374" s="1127"/>
      <c r="F374" s="1127"/>
      <c r="G374" s="1127"/>
      <c r="H374" s="1127"/>
      <c r="I374" s="1127"/>
      <c r="J374" s="1127"/>
      <c r="K374" s="1128"/>
      <c r="L374" s="1127"/>
      <c r="M374" s="1127"/>
      <c r="N374" s="1127"/>
      <c r="O374" s="1127"/>
      <c r="P374" s="1127"/>
      <c r="Q374" s="1127"/>
      <c r="R374" s="1129"/>
      <c r="S374" s="1127"/>
      <c r="T374" s="1129"/>
      <c r="U374" s="1129"/>
      <c r="V374" s="1127"/>
      <c r="W374" s="1127"/>
      <c r="X374" s="1127"/>
      <c r="Y374" s="1127"/>
      <c r="Z374" s="1127"/>
      <c r="AA374" s="1127"/>
      <c r="AB374" s="1127"/>
      <c r="AC374" s="1126"/>
    </row>
    <row r="375" spans="1:29">
      <c r="A375" s="1126"/>
      <c r="B375" s="1126"/>
      <c r="C375" s="1126"/>
      <c r="D375" s="1127"/>
      <c r="E375" s="1127"/>
      <c r="F375" s="1127"/>
      <c r="G375" s="1127"/>
      <c r="H375" s="1127"/>
      <c r="I375" s="1127"/>
      <c r="J375" s="1127"/>
      <c r="K375" s="1128"/>
      <c r="L375" s="1127"/>
      <c r="M375" s="1127"/>
      <c r="N375" s="1127"/>
      <c r="O375" s="1127"/>
      <c r="P375" s="1127"/>
      <c r="Q375" s="1127"/>
      <c r="R375" s="1129"/>
      <c r="S375" s="1127"/>
      <c r="T375" s="1129"/>
      <c r="U375" s="1129"/>
      <c r="V375" s="1127"/>
      <c r="W375" s="1127"/>
      <c r="X375" s="1127"/>
      <c r="Y375" s="1127"/>
      <c r="Z375" s="1127"/>
      <c r="AA375" s="1127"/>
      <c r="AB375" s="1127"/>
      <c r="AC375" s="1126"/>
    </row>
    <row r="376" spans="1:29" ht="15.75" thickBot="1">
      <c r="D376" s="497"/>
      <c r="E376" s="497"/>
      <c r="F376" s="497"/>
      <c r="G376" s="497"/>
      <c r="H376" s="497"/>
      <c r="I376" s="497"/>
      <c r="J376" s="497"/>
      <c r="K376" s="504"/>
      <c r="L376" s="497"/>
      <c r="M376" s="497"/>
      <c r="N376" s="497"/>
      <c r="O376" s="497"/>
      <c r="P376" s="497"/>
      <c r="Q376" s="497"/>
      <c r="R376" s="496"/>
      <c r="S376" s="497"/>
      <c r="T376" s="496"/>
      <c r="U376" s="496"/>
      <c r="V376" s="497"/>
      <c r="W376" s="497"/>
      <c r="X376" s="497"/>
      <c r="Y376" s="497"/>
      <c r="Z376" s="497"/>
      <c r="AA376" s="497"/>
      <c r="AB376" s="497"/>
    </row>
    <row r="377" spans="1:29" ht="15.75" thickBot="1">
      <c r="D377" s="497"/>
      <c r="E377" s="497"/>
      <c r="F377" s="497"/>
      <c r="G377" s="497"/>
      <c r="H377" s="497"/>
      <c r="I377" s="497"/>
      <c r="J377" s="497"/>
      <c r="K377" s="1212" t="s">
        <v>1501</v>
      </c>
      <c r="L377" s="1213"/>
      <c r="M377" s="1214"/>
      <c r="N377" s="497"/>
      <c r="O377" s="497"/>
      <c r="P377" s="497"/>
      <c r="Q377" s="497"/>
      <c r="R377" s="496"/>
      <c r="S377" s="497"/>
      <c r="T377" s="496"/>
      <c r="U377" s="496"/>
      <c r="V377" s="497"/>
      <c r="W377" s="497"/>
      <c r="X377" s="497"/>
      <c r="Y377" s="497"/>
      <c r="Z377" s="497"/>
      <c r="AA377" s="497"/>
      <c r="AB377" s="497"/>
    </row>
    <row r="378" spans="1:29">
      <c r="K378" s="492"/>
      <c r="L378" s="491"/>
      <c r="M378" s="490"/>
    </row>
    <row r="379" spans="1:29" ht="15.75" thickBot="1">
      <c r="K379" s="487"/>
      <c r="L379" s="497"/>
      <c r="M379" s="505" t="s">
        <v>391</v>
      </c>
      <c r="R379" s="474"/>
      <c r="T379" s="474"/>
      <c r="U379" s="474"/>
    </row>
    <row r="380" spans="1:29" ht="15.75" thickBot="1">
      <c r="I380" s="511"/>
      <c r="K380" s="487" t="s">
        <v>653</v>
      </c>
      <c r="L380" s="497" t="str">
        <f>K33</f>
        <v>Prefab ruwbouw</v>
      </c>
      <c r="M380" s="513">
        <f>AA40</f>
        <v>0</v>
      </c>
      <c r="R380" s="474"/>
      <c r="T380" s="474"/>
      <c r="U380" s="474"/>
    </row>
    <row r="381" spans="1:29" ht="15.75" thickBot="1">
      <c r="I381" s="511"/>
      <c r="K381" s="487" t="s">
        <v>659</v>
      </c>
      <c r="L381" s="497" t="str">
        <f>K41</f>
        <v>Aanpasbaarheid, flexibiliteit</v>
      </c>
      <c r="M381" s="513" t="str">
        <f>AA48</f>
        <v>4</v>
      </c>
      <c r="R381" s="474"/>
      <c r="T381" s="474"/>
      <c r="U381" s="474"/>
    </row>
    <row r="382" spans="1:29" ht="15.75" thickBot="1">
      <c r="I382" s="511"/>
      <c r="K382" s="487" t="s">
        <v>652</v>
      </c>
      <c r="L382" s="497" t="str">
        <f>K49</f>
        <v>Onderhoud en herstellingen van bouwschil en technieken</v>
      </c>
      <c r="M382" s="513">
        <f>AA63</f>
        <v>0</v>
      </c>
      <c r="R382" s="474"/>
      <c r="T382" s="474"/>
      <c r="U382" s="474"/>
    </row>
    <row r="383" spans="1:29" ht="15.75" thickBot="1">
      <c r="I383" s="511"/>
      <c r="K383" s="487" t="s">
        <v>658</v>
      </c>
      <c r="L383" s="497" t="str">
        <f>K64</f>
        <v>Afbraak van ruwbouw en afwerking</v>
      </c>
      <c r="M383" s="512">
        <f>AA73</f>
        <v>0</v>
      </c>
      <c r="N383" s="510"/>
      <c r="R383" s="474"/>
      <c r="T383" s="474"/>
      <c r="U383" s="474"/>
    </row>
    <row r="384" spans="1:29" ht="15.75" thickBot="1">
      <c r="I384" s="511"/>
      <c r="K384" s="487" t="s">
        <v>651</v>
      </c>
      <c r="L384" s="497" t="str">
        <f>K76</f>
        <v>Oorsprong van de bouwmaterialen</v>
      </c>
      <c r="M384" s="503">
        <f>AA83</f>
        <v>0</v>
      </c>
      <c r="N384" s="510"/>
      <c r="R384" s="474"/>
      <c r="T384" s="474"/>
      <c r="U384" s="474"/>
    </row>
    <row r="385" spans="9:21" ht="15.75" thickBot="1">
      <c r="I385" s="511"/>
      <c r="K385" s="487" t="s">
        <v>657</v>
      </c>
      <c r="L385" s="497" t="str">
        <f>K84</f>
        <v>Uitputting van grondstoffen en typologie van de materialen</v>
      </c>
      <c r="M385" s="503">
        <f>AA99</f>
        <v>0</v>
      </c>
      <c r="N385" s="510"/>
      <c r="R385" s="474"/>
      <c r="T385" s="474"/>
      <c r="U385" s="474"/>
    </row>
    <row r="386" spans="9:21" ht="15.75" thickBot="1">
      <c r="I386" s="511"/>
      <c r="K386" s="487" t="s">
        <v>656</v>
      </c>
      <c r="L386" s="497" t="str">
        <f>K100</f>
        <v>Rationeel materiaalgebruik</v>
      </c>
      <c r="M386" s="503" t="str">
        <f>AA105</f>
        <v>1</v>
      </c>
      <c r="N386" s="510"/>
      <c r="R386" s="474"/>
      <c r="T386" s="474"/>
      <c r="U386" s="474"/>
    </row>
    <row r="387" spans="9:21" ht="15.75" thickBot="1">
      <c r="I387" s="511"/>
      <c r="K387" s="487" t="s">
        <v>655</v>
      </c>
      <c r="L387" s="497" t="str">
        <f>K106</f>
        <v>Reductie van bouwafval en recyclage</v>
      </c>
      <c r="M387" s="503">
        <f>AA119</f>
        <v>0</v>
      </c>
      <c r="N387" s="510"/>
      <c r="R387" s="474"/>
      <c r="T387" s="474"/>
      <c r="U387" s="474"/>
    </row>
    <row r="388" spans="9:21" ht="15.75" thickBot="1">
      <c r="I388" s="511"/>
      <c r="K388" s="487" t="s">
        <v>650</v>
      </c>
      <c r="L388" s="497" t="str">
        <f>K121</f>
        <v xml:space="preserve">impact op de gezondheid </v>
      </c>
      <c r="M388" s="503" t="str">
        <f>AA132</f>
        <v>2</v>
      </c>
      <c r="N388" s="510"/>
      <c r="R388" s="474"/>
      <c r="T388" s="474"/>
      <c r="U388" s="474"/>
    </row>
    <row r="389" spans="9:21" ht="15.75" thickBot="1">
      <c r="I389" s="511"/>
      <c r="K389" s="487" t="s">
        <v>981</v>
      </c>
      <c r="L389" s="497" t="str">
        <f>K133</f>
        <v>Impact op het milieu</v>
      </c>
      <c r="M389" s="503" t="str">
        <f>AA141</f>
        <v>/</v>
      </c>
      <c r="N389" s="510"/>
      <c r="R389" s="474"/>
      <c r="T389" s="474"/>
      <c r="U389" s="474"/>
    </row>
    <row r="390" spans="9:21" ht="15.75" thickBot="1">
      <c r="I390" s="511"/>
      <c r="K390" s="487" t="s">
        <v>653</v>
      </c>
      <c r="L390" s="497" t="str">
        <f>K267</f>
        <v>Circulatieruimtes - impact op het milieu</v>
      </c>
      <c r="M390" s="503">
        <f>AA195</f>
        <v>0</v>
      </c>
      <c r="N390" s="510"/>
      <c r="R390" s="474"/>
      <c r="T390" s="474"/>
      <c r="U390" s="474"/>
    </row>
    <row r="391" spans="9:21" ht="15.75" thickBot="1">
      <c r="I391" s="511"/>
      <c r="K391" s="487" t="s">
        <v>652</v>
      </c>
      <c r="L391" s="497" t="str">
        <f>K196</f>
        <v>parkeren, overslag; impact op het milieu</v>
      </c>
      <c r="M391" s="503" t="str">
        <f>AA206</f>
        <v>4</v>
      </c>
      <c r="N391" s="510"/>
      <c r="R391" s="474"/>
      <c r="T391" s="474"/>
      <c r="U391" s="474"/>
    </row>
    <row r="392" spans="9:21" ht="15.75" thickBot="1">
      <c r="I392" s="511"/>
      <c r="K392" s="487" t="s">
        <v>651</v>
      </c>
      <c r="L392" s="497" t="str">
        <f>K209</f>
        <v>Rationalisatie en zonering</v>
      </c>
      <c r="M392" s="503" t="str">
        <f>AA219</f>
        <v>2</v>
      </c>
      <c r="N392" s="510"/>
      <c r="R392" s="474"/>
      <c r="T392" s="474"/>
      <c r="U392" s="474"/>
    </row>
    <row r="393" spans="9:21" ht="15.75" thickBot="1">
      <c r="I393" s="511"/>
      <c r="K393" s="487" t="s">
        <v>650</v>
      </c>
      <c r="L393" s="504" t="str">
        <f>K221</f>
        <v>Exploitatie van het potentieel van de site</v>
      </c>
      <c r="M393" s="503" t="str">
        <f>AA226</f>
        <v>1</v>
      </c>
      <c r="N393" s="510"/>
      <c r="R393" s="474"/>
      <c r="T393" s="474"/>
      <c r="U393" s="474"/>
    </row>
    <row r="394" spans="9:21" ht="15.75" thickBot="1">
      <c r="K394" s="487" t="s">
        <v>649</v>
      </c>
      <c r="L394" s="497" t="str">
        <f>K228</f>
        <v>Oorsprong en samenstelling</v>
      </c>
      <c r="M394" s="502" t="str">
        <f>AA235</f>
        <v>2</v>
      </c>
      <c r="N394" s="510"/>
      <c r="R394" s="474"/>
      <c r="T394" s="474"/>
      <c r="U394" s="474"/>
    </row>
    <row r="395" spans="9:21">
      <c r="K395" s="487"/>
      <c r="L395" s="497"/>
      <c r="M395" s="485"/>
      <c r="N395" s="510"/>
      <c r="R395" s="474"/>
      <c r="T395" s="474"/>
      <c r="U395" s="474"/>
    </row>
    <row r="396" spans="9:21">
      <c r="K396" s="495"/>
      <c r="L396" s="500"/>
      <c r="M396" s="499" t="s">
        <v>391</v>
      </c>
      <c r="N396" s="510"/>
      <c r="R396" s="474"/>
      <c r="T396" s="474"/>
      <c r="U396" s="474"/>
    </row>
    <row r="397" spans="9:21">
      <c r="K397" s="495" t="str">
        <f t="shared" ref="K397:L411" si="10">K380</f>
        <v>A.1.1</v>
      </c>
      <c r="L397" s="494" t="str">
        <f t="shared" si="10"/>
        <v>Prefab ruwbouw</v>
      </c>
      <c r="M397" s="493">
        <f>IF(M380=FALSE,0,M380-1)</f>
        <v>-1</v>
      </c>
      <c r="R397" s="474"/>
      <c r="T397" s="474"/>
      <c r="U397" s="474"/>
    </row>
    <row r="398" spans="9:21">
      <c r="K398" s="495" t="str">
        <f t="shared" si="10"/>
        <v>A.1.2</v>
      </c>
      <c r="L398" s="494" t="str">
        <f t="shared" si="10"/>
        <v>Aanpasbaarheid, flexibiliteit</v>
      </c>
      <c r="M398" s="493">
        <f>IF(M381=FALSE,0,M381-1)</f>
        <v>3</v>
      </c>
      <c r="R398" s="474"/>
      <c r="T398" s="474"/>
      <c r="U398" s="474"/>
    </row>
    <row r="399" spans="9:21">
      <c r="K399" s="495" t="str">
        <f t="shared" si="10"/>
        <v>A.2.1</v>
      </c>
      <c r="L399" s="494" t="str">
        <f t="shared" si="10"/>
        <v>Onderhoud en herstellingen van bouwschil en technieken</v>
      </c>
      <c r="M399" s="493">
        <f>IF(M382="FAUX",0,M382-1)</f>
        <v>-1</v>
      </c>
      <c r="R399" s="474"/>
      <c r="T399" s="474"/>
      <c r="U399" s="474"/>
    </row>
    <row r="400" spans="9:21">
      <c r="K400" s="495" t="str">
        <f t="shared" si="10"/>
        <v>A.2.2</v>
      </c>
      <c r="L400" s="494" t="str">
        <f t="shared" si="10"/>
        <v>Afbraak van ruwbouw en afwerking</v>
      </c>
      <c r="M400" s="493">
        <f t="shared" ref="M400:M411" si="11">IF(M383=FALSE,0,M383-1)</f>
        <v>-1</v>
      </c>
      <c r="R400" s="474"/>
      <c r="T400" s="474"/>
      <c r="U400" s="474"/>
    </row>
    <row r="401" spans="11:21">
      <c r="K401" s="495" t="str">
        <f t="shared" si="10"/>
        <v>B.1.1</v>
      </c>
      <c r="L401" s="494" t="str">
        <f t="shared" si="10"/>
        <v>Oorsprong van de bouwmaterialen</v>
      </c>
      <c r="M401" s="493">
        <f t="shared" si="11"/>
        <v>-1</v>
      </c>
      <c r="R401" s="474"/>
      <c r="T401" s="474"/>
      <c r="U401" s="474"/>
    </row>
    <row r="402" spans="11:21">
      <c r="K402" s="495" t="str">
        <f t="shared" si="10"/>
        <v>B.1.2</v>
      </c>
      <c r="L402" s="494" t="str">
        <f t="shared" si="10"/>
        <v>Uitputting van grondstoffen en typologie van de materialen</v>
      </c>
      <c r="M402" s="493">
        <f t="shared" si="11"/>
        <v>-1</v>
      </c>
      <c r="R402" s="474"/>
      <c r="T402" s="474"/>
      <c r="U402" s="474"/>
    </row>
    <row r="403" spans="11:21">
      <c r="K403" s="495" t="str">
        <f t="shared" si="10"/>
        <v>B.1.3</v>
      </c>
      <c r="L403" s="494" t="str">
        <f t="shared" si="10"/>
        <v>Rationeel materiaalgebruik</v>
      </c>
      <c r="M403" s="493">
        <f t="shared" si="11"/>
        <v>0</v>
      </c>
      <c r="R403" s="474"/>
      <c r="T403" s="474"/>
      <c r="U403" s="474"/>
    </row>
    <row r="404" spans="11:21">
      <c r="K404" s="495" t="str">
        <f t="shared" si="10"/>
        <v>B.1.4</v>
      </c>
      <c r="L404" s="494" t="str">
        <f t="shared" si="10"/>
        <v>Reductie van bouwafval en recyclage</v>
      </c>
      <c r="M404" s="493">
        <f t="shared" si="11"/>
        <v>-1</v>
      </c>
      <c r="R404" s="474"/>
      <c r="T404" s="474"/>
      <c r="U404" s="474"/>
    </row>
    <row r="405" spans="11:21">
      <c r="K405" s="495" t="str">
        <f t="shared" si="10"/>
        <v>B.2.1</v>
      </c>
      <c r="L405" s="494" t="str">
        <f t="shared" si="10"/>
        <v xml:space="preserve">impact op de gezondheid </v>
      </c>
      <c r="M405" s="493">
        <f t="shared" si="11"/>
        <v>1</v>
      </c>
      <c r="R405" s="474"/>
      <c r="T405" s="474"/>
      <c r="U405" s="474"/>
    </row>
    <row r="406" spans="11:21">
      <c r="K406" s="495" t="str">
        <f t="shared" si="10"/>
        <v>B.2.2</v>
      </c>
      <c r="L406" s="494" t="str">
        <f t="shared" si="10"/>
        <v>Impact op het milieu</v>
      </c>
      <c r="M406" s="493" t="e">
        <f t="shared" si="11"/>
        <v>#VALUE!</v>
      </c>
      <c r="R406" s="474"/>
      <c r="T406" s="474"/>
      <c r="U406" s="474"/>
    </row>
    <row r="407" spans="11:21">
      <c r="K407" s="495" t="str">
        <f t="shared" si="10"/>
        <v>A.1.1</v>
      </c>
      <c r="L407" s="494" t="str">
        <f t="shared" si="10"/>
        <v>Circulatieruimtes - impact op het milieu</v>
      </c>
      <c r="M407" s="493">
        <f t="shared" si="11"/>
        <v>-1</v>
      </c>
      <c r="R407" s="474"/>
      <c r="T407" s="474"/>
      <c r="U407" s="474"/>
    </row>
    <row r="408" spans="11:21">
      <c r="K408" s="495" t="str">
        <f t="shared" si="10"/>
        <v>A.2.1</v>
      </c>
      <c r="L408" s="494" t="str">
        <f t="shared" si="10"/>
        <v>parkeren, overslag; impact op het milieu</v>
      </c>
      <c r="M408" s="493">
        <f t="shared" si="11"/>
        <v>3</v>
      </c>
      <c r="R408" s="474"/>
      <c r="T408" s="474"/>
      <c r="U408" s="474"/>
    </row>
    <row r="409" spans="11:21">
      <c r="K409" s="495" t="str">
        <f t="shared" si="10"/>
        <v>B.1.1</v>
      </c>
      <c r="L409" s="494" t="str">
        <f t="shared" si="10"/>
        <v>Rationalisatie en zonering</v>
      </c>
      <c r="M409" s="493">
        <f t="shared" si="11"/>
        <v>1</v>
      </c>
      <c r="R409" s="474"/>
      <c r="T409" s="474"/>
      <c r="U409" s="474"/>
    </row>
    <row r="410" spans="11:21">
      <c r="K410" s="495" t="str">
        <f t="shared" si="10"/>
        <v>B.2.1</v>
      </c>
      <c r="L410" s="494" t="str">
        <f t="shared" si="10"/>
        <v>Exploitatie van het potentieel van de site</v>
      </c>
      <c r="M410" s="493">
        <f t="shared" si="11"/>
        <v>0</v>
      </c>
      <c r="R410" s="474"/>
      <c r="T410" s="474"/>
      <c r="U410" s="474"/>
    </row>
    <row r="411" spans="11:21" ht="15.75" thickBot="1">
      <c r="K411" s="484" t="str">
        <f t="shared" si="10"/>
        <v>B.3.1</v>
      </c>
      <c r="L411" s="483" t="str">
        <f t="shared" si="10"/>
        <v>Oorsprong en samenstelling</v>
      </c>
      <c r="M411" s="493">
        <f t="shared" si="11"/>
        <v>1</v>
      </c>
      <c r="R411" s="474"/>
      <c r="T411" s="474"/>
      <c r="U411" s="474"/>
    </row>
    <row r="412" spans="11:21" ht="15.75" thickBot="1">
      <c r="K412" s="1212" t="s">
        <v>648</v>
      </c>
      <c r="L412" s="1213"/>
      <c r="M412" s="1214"/>
      <c r="R412" s="474"/>
      <c r="T412" s="474"/>
      <c r="U412" s="474"/>
    </row>
    <row r="413" spans="11:21">
      <c r="K413" s="492"/>
      <c r="L413" s="491"/>
      <c r="M413" s="490"/>
      <c r="R413" s="474"/>
      <c r="T413" s="474"/>
      <c r="U413" s="474"/>
    </row>
    <row r="414" spans="11:21">
      <c r="K414" s="489" t="s">
        <v>647</v>
      </c>
      <c r="L414" s="486" t="s">
        <v>646</v>
      </c>
      <c r="M414" s="485"/>
      <c r="R414" s="474"/>
      <c r="T414" s="474"/>
      <c r="U414" s="474"/>
    </row>
    <row r="415" spans="11:21">
      <c r="K415" s="488"/>
      <c r="L415" s="486" t="s">
        <v>645</v>
      </c>
      <c r="M415" s="485"/>
      <c r="R415" s="474"/>
      <c r="T415" s="474"/>
      <c r="U415" s="474"/>
    </row>
    <row r="416" spans="11:21">
      <c r="K416" s="487"/>
      <c r="L416" s="486" t="s">
        <v>644</v>
      </c>
      <c r="M416" s="485"/>
      <c r="R416" s="474"/>
      <c r="T416" s="474"/>
      <c r="U416" s="474"/>
    </row>
    <row r="417" spans="3:21" ht="15.75" thickBot="1">
      <c r="K417" s="487"/>
      <c r="L417" s="486" t="s">
        <v>643</v>
      </c>
      <c r="M417" s="485"/>
      <c r="R417" s="474"/>
      <c r="T417" s="474"/>
      <c r="U417" s="474"/>
    </row>
    <row r="418" spans="3:21" ht="19.5" customHeight="1" thickBot="1">
      <c r="C418" s="1203" t="s">
        <v>1469</v>
      </c>
      <c r="D418" s="1204"/>
      <c r="E418" s="1204"/>
      <c r="F418" s="1205"/>
      <c r="K418" s="509"/>
      <c r="L418" s="508"/>
      <c r="M418" s="507"/>
      <c r="R418" s="474"/>
      <c r="T418" s="474"/>
      <c r="U418" s="474"/>
    </row>
    <row r="419" spans="3:21" ht="15" customHeight="1">
      <c r="C419" s="1206"/>
      <c r="D419" s="1207"/>
      <c r="E419" s="1207"/>
      <c r="F419" s="1208"/>
      <c r="K419" s="1221" t="s">
        <v>391</v>
      </c>
      <c r="L419" s="1223" t="str">
        <f>IF(OR(M380="/",M381="/",M382="/",M383="/",M384="/",M385="/",M386="/",M387="/",M388="/",M389="/",M390="/",M391="/",M392="/",M393="/",M394="/"),"/",IF(M422&gt;=75%,"1",IF(M422&gt;=55%,"2",IF(M422&gt;=40%,"3",IF(M422&gt;=25%,"4","4")))))</f>
        <v>/</v>
      </c>
      <c r="M419" s="1224"/>
      <c r="R419" s="474"/>
      <c r="T419" s="474"/>
      <c r="U419" s="474"/>
    </row>
    <row r="420" spans="3:21" ht="15.75" thickBot="1">
      <c r="C420" s="1206"/>
      <c r="D420" s="1207"/>
      <c r="E420" s="1207"/>
      <c r="F420" s="1208"/>
      <c r="K420" s="1222"/>
      <c r="L420" s="1225"/>
      <c r="M420" s="1226"/>
      <c r="R420" s="474"/>
      <c r="T420" s="474"/>
      <c r="U420" s="474"/>
    </row>
    <row r="421" spans="3:21" ht="15.75" thickBot="1">
      <c r="C421" s="1209"/>
      <c r="D421" s="1210"/>
      <c r="E421" s="1210"/>
      <c r="F421" s="1211"/>
      <c r="K421" s="506"/>
      <c r="R421" s="474"/>
      <c r="T421" s="474"/>
      <c r="U421" s="474"/>
    </row>
    <row r="422" spans="3:21">
      <c r="I422" s="478" t="s">
        <v>641</v>
      </c>
      <c r="K422" s="475">
        <f>COUNTIF(M380:M394,"=1")</f>
        <v>2</v>
      </c>
      <c r="L422" s="474" t="s">
        <v>640</v>
      </c>
      <c r="M422" s="479">
        <f>SUM(K422:K423)/K426</f>
        <v>0.7142857142857143</v>
      </c>
      <c r="R422" s="474"/>
      <c r="T422" s="474"/>
      <c r="U422" s="474"/>
    </row>
    <row r="423" spans="3:21">
      <c r="I423" s="478" t="s">
        <v>639</v>
      </c>
      <c r="K423" s="475">
        <f>COUNTIF(M380:M394,"=2")</f>
        <v>3</v>
      </c>
      <c r="M423" s="479"/>
      <c r="R423" s="474"/>
      <c r="T423" s="474"/>
      <c r="U423" s="474"/>
    </row>
    <row r="424" spans="3:21">
      <c r="I424" s="478" t="s">
        <v>638</v>
      </c>
      <c r="K424" s="475">
        <f>COUNTIF(M380:M394,"=3")</f>
        <v>0</v>
      </c>
      <c r="L424" s="474" t="s">
        <v>637</v>
      </c>
      <c r="M424" s="479">
        <f>SUM(K424:K425)/K426</f>
        <v>0.2857142857142857</v>
      </c>
      <c r="R424" s="474"/>
      <c r="T424" s="474"/>
      <c r="U424" s="474"/>
    </row>
    <row r="425" spans="3:21">
      <c r="I425" s="478" t="s">
        <v>636</v>
      </c>
      <c r="K425" s="475">
        <f>COUNTIF(M380:M394,"=4")</f>
        <v>2</v>
      </c>
      <c r="R425" s="474"/>
      <c r="T425" s="474"/>
      <c r="U425" s="474"/>
    </row>
    <row r="426" spans="3:21">
      <c r="I426" s="477" t="s">
        <v>635</v>
      </c>
      <c r="K426" s="477">
        <f>SUM(K422:K425)</f>
        <v>7</v>
      </c>
      <c r="R426" s="474"/>
      <c r="T426" s="474"/>
      <c r="U426" s="474"/>
    </row>
    <row r="427" spans="3:21">
      <c r="K427" s="474"/>
      <c r="R427" s="474"/>
      <c r="T427" s="474"/>
      <c r="U427" s="474"/>
    </row>
    <row r="428" spans="3:21">
      <c r="K428" s="474"/>
      <c r="R428" s="474"/>
      <c r="T428" s="474"/>
      <c r="U428" s="474"/>
    </row>
    <row r="429" spans="3:21">
      <c r="K429" s="474"/>
      <c r="R429" s="474"/>
      <c r="T429" s="474"/>
      <c r="U429" s="474"/>
    </row>
    <row r="430" spans="3:21">
      <c r="K430" s="506"/>
      <c r="R430" s="474"/>
      <c r="T430" s="474"/>
      <c r="U430" s="474"/>
    </row>
    <row r="431" spans="3:21">
      <c r="K431" s="506"/>
      <c r="R431" s="474"/>
      <c r="T431" s="474"/>
      <c r="U431" s="474"/>
    </row>
    <row r="432" spans="3:21">
      <c r="K432" s="506"/>
      <c r="R432" s="474"/>
      <c r="T432" s="474"/>
      <c r="U432" s="474"/>
    </row>
    <row r="433" spans="11:21" ht="15.75" thickBot="1">
      <c r="K433" s="506"/>
      <c r="R433" s="474"/>
      <c r="T433" s="474"/>
      <c r="U433" s="474"/>
    </row>
    <row r="434" spans="11:21" ht="15.75" thickBot="1">
      <c r="K434" s="1212" t="s">
        <v>654</v>
      </c>
      <c r="L434" s="1213"/>
      <c r="M434" s="1214"/>
      <c r="R434" s="474"/>
      <c r="T434" s="474"/>
      <c r="U434" s="474"/>
    </row>
    <row r="435" spans="11:21">
      <c r="K435" s="492"/>
      <c r="L435" s="491"/>
      <c r="M435" s="490"/>
      <c r="R435" s="474"/>
      <c r="T435" s="474"/>
      <c r="U435" s="474"/>
    </row>
    <row r="436" spans="11:21" ht="15.75" thickBot="1">
      <c r="K436" s="487"/>
      <c r="L436" s="497"/>
      <c r="M436" s="505" t="s">
        <v>391</v>
      </c>
      <c r="R436" s="474"/>
      <c r="T436" s="474"/>
      <c r="U436" s="474"/>
    </row>
    <row r="437" spans="11:21" ht="15.75" thickBot="1">
      <c r="K437" s="487" t="s">
        <v>653</v>
      </c>
      <c r="L437" s="497" t="str">
        <f>K267</f>
        <v>Circulatieruimtes - impact op het milieu</v>
      </c>
      <c r="M437" s="503">
        <f>AA288</f>
        <v>0</v>
      </c>
      <c r="R437" s="474"/>
      <c r="T437" s="474"/>
      <c r="U437" s="474"/>
    </row>
    <row r="438" spans="11:21" ht="15.75" thickBot="1">
      <c r="K438" s="487" t="s">
        <v>652</v>
      </c>
      <c r="L438" s="497" t="str">
        <f>K289</f>
        <v>parkeren, overslag; impact op het milieu</v>
      </c>
      <c r="M438" s="503" t="str">
        <f>AA299</f>
        <v>1</v>
      </c>
      <c r="R438" s="474"/>
      <c r="T438" s="474"/>
      <c r="U438" s="474"/>
    </row>
    <row r="439" spans="11:21" ht="15.75" thickBot="1">
      <c r="K439" s="487" t="s">
        <v>651</v>
      </c>
      <c r="L439" s="497" t="str">
        <f>K302</f>
        <v>Rationalisatie en zonering</v>
      </c>
      <c r="M439" s="503" t="str">
        <f>AA312</f>
        <v>3</v>
      </c>
      <c r="R439" s="474"/>
      <c r="T439" s="474"/>
      <c r="U439" s="474"/>
    </row>
    <row r="440" spans="11:21" ht="15.75" thickBot="1">
      <c r="K440" s="487" t="s">
        <v>650</v>
      </c>
      <c r="L440" s="504" t="str">
        <f>K314</f>
        <v>Exploitatie van het potentieel van de site</v>
      </c>
      <c r="M440" s="503" t="str">
        <f>AA319</f>
        <v>3</v>
      </c>
      <c r="R440" s="474"/>
      <c r="T440" s="474"/>
      <c r="U440" s="474"/>
    </row>
    <row r="441" spans="11:21" ht="15.75" thickBot="1">
      <c r="K441" s="487" t="s">
        <v>649</v>
      </c>
      <c r="L441" s="497" t="str">
        <f>K321</f>
        <v>Oorsprong en samenstelling</v>
      </c>
      <c r="M441" s="502" t="str">
        <f>AA328</f>
        <v>1</v>
      </c>
      <c r="R441" s="474"/>
      <c r="T441" s="474"/>
      <c r="U441" s="474"/>
    </row>
    <row r="442" spans="11:21">
      <c r="K442" s="487"/>
      <c r="L442" s="497"/>
      <c r="M442" s="501"/>
      <c r="R442" s="474"/>
      <c r="T442" s="474"/>
      <c r="U442" s="474"/>
    </row>
    <row r="443" spans="11:21">
      <c r="K443" s="487"/>
      <c r="L443" s="497"/>
      <c r="M443" s="501"/>
      <c r="T443" s="474"/>
      <c r="U443" s="474"/>
    </row>
    <row r="444" spans="11:21">
      <c r="K444" s="495"/>
      <c r="L444" s="500"/>
      <c r="M444" s="499" t="s">
        <v>391</v>
      </c>
      <c r="T444" s="474"/>
      <c r="U444" s="474"/>
    </row>
    <row r="445" spans="11:21">
      <c r="K445" s="495" t="str">
        <f t="shared" ref="K445:L449" si="12">K437</f>
        <v>A.1.1</v>
      </c>
      <c r="L445" s="494" t="str">
        <f t="shared" si="12"/>
        <v>Circulatieruimtes - impact op het milieu</v>
      </c>
      <c r="M445" s="493">
        <f>IF(M437=FALSE,0,M437-1)</f>
        <v>-1</v>
      </c>
      <c r="T445" s="474"/>
      <c r="U445" s="474"/>
    </row>
    <row r="446" spans="11:21">
      <c r="K446" s="495" t="str">
        <f t="shared" si="12"/>
        <v>A.2.1</v>
      </c>
      <c r="L446" s="494" t="str">
        <f t="shared" si="12"/>
        <v>parkeren, overslag; impact op het milieu</v>
      </c>
      <c r="M446" s="493">
        <f>IF(M438=FALSE,0,M438-1)</f>
        <v>0</v>
      </c>
      <c r="O446" s="497"/>
      <c r="P446" s="498"/>
      <c r="Q446" s="497"/>
      <c r="R446" s="496"/>
      <c r="T446" s="474"/>
      <c r="U446" s="474"/>
    </row>
    <row r="447" spans="11:21">
      <c r="K447" s="495" t="str">
        <f t="shared" si="12"/>
        <v>B.1.1</v>
      </c>
      <c r="L447" s="494" t="str">
        <f t="shared" si="12"/>
        <v>Rationalisatie en zonering</v>
      </c>
      <c r="M447" s="493">
        <f>IF(M439=FALSE,0,M439-1)</f>
        <v>2</v>
      </c>
      <c r="O447" s="497"/>
      <c r="P447" s="497"/>
      <c r="Q447" s="497"/>
      <c r="R447" s="496"/>
      <c r="T447" s="474"/>
      <c r="U447" s="474"/>
    </row>
    <row r="448" spans="11:21">
      <c r="K448" s="495" t="str">
        <f t="shared" si="12"/>
        <v>B.2.1</v>
      </c>
      <c r="L448" s="494" t="str">
        <f t="shared" si="12"/>
        <v>Exploitatie van het potentieel van de site</v>
      </c>
      <c r="M448" s="493">
        <f>IF(M440=FALSE,0,M440-1)</f>
        <v>2</v>
      </c>
      <c r="T448" s="474"/>
      <c r="U448" s="474"/>
    </row>
    <row r="449" spans="3:21">
      <c r="K449" s="495" t="str">
        <f t="shared" si="12"/>
        <v>B.3.1</v>
      </c>
      <c r="L449" s="494" t="str">
        <f t="shared" si="12"/>
        <v>Oorsprong en samenstelling</v>
      </c>
      <c r="M449" s="493">
        <f>IF(M441=FALSE,0,M441-1)</f>
        <v>0</v>
      </c>
      <c r="T449" s="474"/>
      <c r="U449" s="474"/>
    </row>
    <row r="450" spans="3:21" ht="15.75" thickBot="1">
      <c r="K450" s="495"/>
      <c r="L450" s="494"/>
      <c r="M450" s="493"/>
      <c r="T450" s="474"/>
      <c r="U450" s="474"/>
    </row>
    <row r="451" spans="3:21" ht="15.75" thickBot="1">
      <c r="K451" s="1212" t="s">
        <v>648</v>
      </c>
      <c r="L451" s="1213"/>
      <c r="M451" s="1214"/>
      <c r="T451" s="474"/>
      <c r="U451" s="474"/>
    </row>
    <row r="452" spans="3:21">
      <c r="K452" s="492"/>
      <c r="L452" s="491"/>
      <c r="M452" s="490"/>
      <c r="T452" s="474"/>
      <c r="U452" s="474"/>
    </row>
    <row r="453" spans="3:21">
      <c r="K453" s="489" t="s">
        <v>647</v>
      </c>
      <c r="L453" s="486" t="s">
        <v>646</v>
      </c>
      <c r="M453" s="485"/>
      <c r="T453" s="474"/>
      <c r="U453" s="474"/>
    </row>
    <row r="454" spans="3:21">
      <c r="K454" s="488"/>
      <c r="L454" s="486" t="s">
        <v>645</v>
      </c>
      <c r="M454" s="485"/>
      <c r="T454" s="474"/>
      <c r="U454" s="474"/>
    </row>
    <row r="455" spans="3:21">
      <c r="K455" s="487"/>
      <c r="L455" s="486" t="s">
        <v>644</v>
      </c>
      <c r="M455" s="485"/>
      <c r="T455" s="474"/>
      <c r="U455" s="474"/>
    </row>
    <row r="456" spans="3:21" ht="15.75" thickBot="1">
      <c r="K456" s="487"/>
      <c r="L456" s="486" t="s">
        <v>643</v>
      </c>
      <c r="M456" s="485"/>
      <c r="T456" s="474"/>
      <c r="U456" s="474"/>
    </row>
    <row r="457" spans="3:21" ht="15.75" thickBot="1">
      <c r="C457" s="1203" t="s">
        <v>642</v>
      </c>
      <c r="D457" s="1204"/>
      <c r="E457" s="1204"/>
      <c r="F457" s="1205"/>
      <c r="K457" s="484"/>
      <c r="L457" s="483"/>
      <c r="M457" s="482"/>
      <c r="T457" s="474"/>
      <c r="U457" s="474"/>
    </row>
    <row r="458" spans="3:21" ht="15" customHeight="1">
      <c r="C458" s="1206"/>
      <c r="D458" s="1207"/>
      <c r="E458" s="1207"/>
      <c r="F458" s="1208"/>
      <c r="K458" s="1221" t="s">
        <v>391</v>
      </c>
      <c r="L458" s="1223" t="str">
        <f>IF(OR(M437="/",M438="/",M439="/",M440="/",M441="/"),"/",IF(M461&gt;=75%,"1",IF(M461&gt;=55%,"2",IF(M461&gt;=40%,"3",IF(M461&gt;=25%,"4","4")))))</f>
        <v>3</v>
      </c>
      <c r="M458" s="1224"/>
      <c r="T458" s="474"/>
      <c r="U458" s="474"/>
    </row>
    <row r="459" spans="3:21" ht="15.75" customHeight="1" thickBot="1">
      <c r="C459" s="1206"/>
      <c r="D459" s="1207"/>
      <c r="E459" s="1207"/>
      <c r="F459" s="1208"/>
      <c r="K459" s="1222"/>
      <c r="L459" s="1225"/>
      <c r="M459" s="1226"/>
      <c r="R459" s="474"/>
      <c r="T459" s="474"/>
      <c r="U459" s="474"/>
    </row>
    <row r="460" spans="3:21" ht="15.75" thickBot="1">
      <c r="C460" s="1209"/>
      <c r="D460" s="1210"/>
      <c r="E460" s="1210"/>
      <c r="F460" s="1211"/>
      <c r="L460" s="481"/>
      <c r="M460" s="475"/>
      <c r="R460" s="474"/>
      <c r="T460" s="474"/>
      <c r="U460" s="474"/>
    </row>
    <row r="461" spans="3:21">
      <c r="I461" s="478" t="s">
        <v>641</v>
      </c>
      <c r="K461" s="475">
        <f>COUNTIF(M437:M441,"=1")</f>
        <v>2</v>
      </c>
      <c r="L461" s="474" t="s">
        <v>640</v>
      </c>
      <c r="M461" s="479">
        <f>SUM(K461:K462)/K465</f>
        <v>0.5</v>
      </c>
      <c r="P461" s="480"/>
      <c r="R461" s="474"/>
      <c r="T461" s="474"/>
      <c r="U461" s="474"/>
    </row>
    <row r="462" spans="3:21">
      <c r="I462" s="478" t="s">
        <v>639</v>
      </c>
      <c r="K462" s="475">
        <f>COUNTIF(M437:M441,"=2")</f>
        <v>0</v>
      </c>
      <c r="M462" s="479"/>
      <c r="R462" s="474"/>
      <c r="T462" s="474"/>
      <c r="U462" s="474"/>
    </row>
    <row r="463" spans="3:21">
      <c r="I463" s="478" t="s">
        <v>638</v>
      </c>
      <c r="K463" s="475">
        <f>COUNTIF(M437:M441,"=3")</f>
        <v>2</v>
      </c>
      <c r="L463" s="474" t="s">
        <v>637</v>
      </c>
      <c r="M463" s="479">
        <f>SUM(K463:K464)/K465</f>
        <v>0.5</v>
      </c>
      <c r="R463" s="474"/>
      <c r="T463" s="474"/>
      <c r="U463" s="474"/>
    </row>
    <row r="464" spans="3:21">
      <c r="I464" s="478" t="s">
        <v>636</v>
      </c>
      <c r="K464" s="475">
        <f>COUNTIF(M437:M441,"=4")</f>
        <v>0</v>
      </c>
      <c r="R464" s="474"/>
      <c r="T464" s="474"/>
      <c r="U464" s="474"/>
    </row>
    <row r="465" spans="9:21">
      <c r="I465" s="477" t="s">
        <v>635</v>
      </c>
      <c r="K465" s="477">
        <f>SUM(K461:K464)</f>
        <v>4</v>
      </c>
      <c r="R465" s="474"/>
      <c r="T465" s="474"/>
      <c r="U465" s="474"/>
    </row>
  </sheetData>
  <dataConsolidate/>
  <mergeCells count="548">
    <mergeCell ref="J198:J206"/>
    <mergeCell ref="L182:P182"/>
    <mergeCell ref="L183:P183"/>
    <mergeCell ref="L191:P191"/>
    <mergeCell ref="J195:P195"/>
    <mergeCell ref="K196:L196"/>
    <mergeCell ref="H196:H206"/>
    <mergeCell ref="G196:G206"/>
    <mergeCell ref="E250:K250"/>
    <mergeCell ref="M249:N249"/>
    <mergeCell ref="E196:E206"/>
    <mergeCell ref="L205:P205"/>
    <mergeCell ref="L199:P199"/>
    <mergeCell ref="I196:I206"/>
    <mergeCell ref="K197:L197"/>
    <mergeCell ref="L198:P198"/>
    <mergeCell ref="L206:P206"/>
    <mergeCell ref="L200:P200"/>
    <mergeCell ref="L201:P201"/>
    <mergeCell ref="L202:P202"/>
    <mergeCell ref="L203:P203"/>
    <mergeCell ref="J208:P208"/>
    <mergeCell ref="G207:G208"/>
    <mergeCell ref="J207:P207"/>
    <mergeCell ref="E255:I255"/>
    <mergeCell ref="E248:I248"/>
    <mergeCell ref="E209:E219"/>
    <mergeCell ref="L215:P215"/>
    <mergeCell ref="L216:P216"/>
    <mergeCell ref="J220:P220"/>
    <mergeCell ref="F209:F219"/>
    <mergeCell ref="E245:L245"/>
    <mergeCell ref="M254:N254"/>
    <mergeCell ref="K209:L209"/>
    <mergeCell ref="E252:I252"/>
    <mergeCell ref="E253:I253"/>
    <mergeCell ref="E246:K246"/>
    <mergeCell ref="G228:G235"/>
    <mergeCell ref="H228:H235"/>
    <mergeCell ref="I228:I235"/>
    <mergeCell ref="L232:P232"/>
    <mergeCell ref="L233:P233"/>
    <mergeCell ref="E251:I251"/>
    <mergeCell ref="K210:L210"/>
    <mergeCell ref="L211:P211"/>
    <mergeCell ref="L212:P212"/>
    <mergeCell ref="L219:P219"/>
    <mergeCell ref="L217:P217"/>
    <mergeCell ref="V298:W298"/>
    <mergeCell ref="V291:Z296"/>
    <mergeCell ref="V305:Z309"/>
    <mergeCell ref="V212:Y216"/>
    <mergeCell ref="Z212:AA216"/>
    <mergeCell ref="W269:Z272"/>
    <mergeCell ref="AA269:AA272"/>
    <mergeCell ref="W274:Z280"/>
    <mergeCell ref="AA274:AA280"/>
    <mergeCell ref="W287:Y287"/>
    <mergeCell ref="X90:Z93"/>
    <mergeCell ref="AA90:AA93"/>
    <mergeCell ref="R140:W142"/>
    <mergeCell ref="W281:Z285"/>
    <mergeCell ref="AA281:AA285"/>
    <mergeCell ref="W176:Z179"/>
    <mergeCell ref="AA176:AA179"/>
    <mergeCell ref="W181:Z187"/>
    <mergeCell ref="Z198:Z203"/>
    <mergeCell ref="X136:AA136"/>
    <mergeCell ref="X137:AA137"/>
    <mergeCell ref="X138:AA138"/>
    <mergeCell ref="X139:AA139"/>
    <mergeCell ref="AA181:AA187"/>
    <mergeCell ref="W188:Z192"/>
    <mergeCell ref="AA188:AA192"/>
    <mergeCell ref="V198:Y203"/>
    <mergeCell ref="W194:Y194"/>
    <mergeCell ref="V113:Z116"/>
    <mergeCell ref="AA113:AA116"/>
    <mergeCell ref="E106:F119"/>
    <mergeCell ref="G106:H119"/>
    <mergeCell ref="L127:P127"/>
    <mergeCell ref="L128:P128"/>
    <mergeCell ref="M147:P148"/>
    <mergeCell ref="M150:N150"/>
    <mergeCell ref="L131:P131"/>
    <mergeCell ref="K134:L134"/>
    <mergeCell ref="K100:L100"/>
    <mergeCell ref="L139:P139"/>
    <mergeCell ref="L126:P126"/>
    <mergeCell ref="L129:P129"/>
    <mergeCell ref="L125:P125"/>
    <mergeCell ref="K135:K136"/>
    <mergeCell ref="L135:P136"/>
    <mergeCell ref="E150:L150"/>
    <mergeCell ref="J135:J139"/>
    <mergeCell ref="K122:L122"/>
    <mergeCell ref="L124:P124"/>
    <mergeCell ref="L112:P112"/>
    <mergeCell ref="E120:F120"/>
    <mergeCell ref="G120:H120"/>
    <mergeCell ref="L114:P114"/>
    <mergeCell ref="L110:P110"/>
    <mergeCell ref="M159:N159"/>
    <mergeCell ref="E172:E173"/>
    <mergeCell ref="F172:F173"/>
    <mergeCell ref="G172:G173"/>
    <mergeCell ref="L189:P189"/>
    <mergeCell ref="L190:P190"/>
    <mergeCell ref="E160:I160"/>
    <mergeCell ref="J160:K160"/>
    <mergeCell ref="F196:F206"/>
    <mergeCell ref="M160:N160"/>
    <mergeCell ref="L178:P178"/>
    <mergeCell ref="L179:P179"/>
    <mergeCell ref="H172:H173"/>
    <mergeCell ref="E174:E194"/>
    <mergeCell ref="I174:I194"/>
    <mergeCell ref="M170:M171"/>
    <mergeCell ref="N170:N171"/>
    <mergeCell ref="O170:O171"/>
    <mergeCell ref="E162:I162"/>
    <mergeCell ref="M161:N161"/>
    <mergeCell ref="E161:I161"/>
    <mergeCell ref="J162:K162"/>
    <mergeCell ref="M162:N162"/>
    <mergeCell ref="L204:P204"/>
    <mergeCell ref="H300:H301"/>
    <mergeCell ref="J300:P300"/>
    <mergeCell ref="J301:P301"/>
    <mergeCell ref="E267:E287"/>
    <mergeCell ref="J269:J287"/>
    <mergeCell ref="L298:P298"/>
    <mergeCell ref="L296:P296"/>
    <mergeCell ref="L295:P295"/>
    <mergeCell ref="L297:P297"/>
    <mergeCell ref="F300:F301"/>
    <mergeCell ref="E300:E301"/>
    <mergeCell ref="L281:P281"/>
    <mergeCell ref="K289:L289"/>
    <mergeCell ref="I267:I287"/>
    <mergeCell ref="F267:F287"/>
    <mergeCell ref="H289:H299"/>
    <mergeCell ref="I289:I299"/>
    <mergeCell ref="L271:P271"/>
    <mergeCell ref="L279:P279"/>
    <mergeCell ref="L274:P274"/>
    <mergeCell ref="L275:P275"/>
    <mergeCell ref="L276:P276"/>
    <mergeCell ref="L277:P277"/>
    <mergeCell ref="L285:P285"/>
    <mergeCell ref="J288:P288"/>
    <mergeCell ref="L284:P284"/>
    <mergeCell ref="L270:P270"/>
    <mergeCell ref="P263:P264"/>
    <mergeCell ref="M245:N245"/>
    <mergeCell ref="M247:N247"/>
    <mergeCell ref="L214:P214"/>
    <mergeCell ref="L213:P213"/>
    <mergeCell ref="E242:L243"/>
    <mergeCell ref="M242:P243"/>
    <mergeCell ref="E256:I256"/>
    <mergeCell ref="E257:I257"/>
    <mergeCell ref="J252:K252"/>
    <mergeCell ref="J251:K251"/>
    <mergeCell ref="M257:N257"/>
    <mergeCell ref="M253:N253"/>
    <mergeCell ref="L218:P218"/>
    <mergeCell ref="J211:J219"/>
    <mergeCell ref="G209:G219"/>
    <mergeCell ref="H209:H219"/>
    <mergeCell ref="E265:E266"/>
    <mergeCell ref="I263:L264"/>
    <mergeCell ref="E228:E235"/>
    <mergeCell ref="F228:F235"/>
    <mergeCell ref="M10:P11"/>
    <mergeCell ref="E15:K16"/>
    <mergeCell ref="E14:K14"/>
    <mergeCell ref="E27:P28"/>
    <mergeCell ref="P29:P30"/>
    <mergeCell ref="M29:M30"/>
    <mergeCell ref="N29:N30"/>
    <mergeCell ref="I29:L30"/>
    <mergeCell ref="M14:N14"/>
    <mergeCell ref="O22:P22"/>
    <mergeCell ref="E10:L11"/>
    <mergeCell ref="O23:P23"/>
    <mergeCell ref="O15:P15"/>
    <mergeCell ref="E17:K20"/>
    <mergeCell ref="M21:N21"/>
    <mergeCell ref="M22:N22"/>
    <mergeCell ref="O14:P14"/>
    <mergeCell ref="O17:P17"/>
    <mergeCell ref="O16:P16"/>
    <mergeCell ref="O18:P18"/>
    <mergeCell ref="O20:P20"/>
    <mergeCell ref="O21:P21"/>
    <mergeCell ref="O19:P19"/>
    <mergeCell ref="M15:N15"/>
    <mergeCell ref="AG107:AH107"/>
    <mergeCell ref="B36:B39"/>
    <mergeCell ref="L79:P79"/>
    <mergeCell ref="L80:P80"/>
    <mergeCell ref="J75:P75"/>
    <mergeCell ref="L43:P43"/>
    <mergeCell ref="L36:P36"/>
    <mergeCell ref="L37:P37"/>
    <mergeCell ref="L38:P38"/>
    <mergeCell ref="I33:I40"/>
    <mergeCell ref="E41:F47"/>
    <mergeCell ref="E76:F83"/>
    <mergeCell ref="K77:L77"/>
    <mergeCell ref="K76:L76"/>
    <mergeCell ref="K65:L65"/>
    <mergeCell ref="L62:P62"/>
    <mergeCell ref="J74:P74"/>
    <mergeCell ref="L44:P44"/>
    <mergeCell ref="L45:P45"/>
    <mergeCell ref="L46:P46"/>
    <mergeCell ref="L66:P66"/>
    <mergeCell ref="L70:P70"/>
    <mergeCell ref="E74:F75"/>
    <mergeCell ref="L82:P82"/>
    <mergeCell ref="I41:I47"/>
    <mergeCell ref="L52:P52"/>
    <mergeCell ref="G41:H47"/>
    <mergeCell ref="E49:F63"/>
    <mergeCell ref="L55:P55"/>
    <mergeCell ref="O29:O30"/>
    <mergeCell ref="L78:P78"/>
    <mergeCell ref="L81:P81"/>
    <mergeCell ref="L39:P39"/>
    <mergeCell ref="L40:P40"/>
    <mergeCell ref="K41:L41"/>
    <mergeCell ref="K33:L33"/>
    <mergeCell ref="J48:P48"/>
    <mergeCell ref="L53:P53"/>
    <mergeCell ref="L54:P54"/>
    <mergeCell ref="J43:J47"/>
    <mergeCell ref="J35:J40"/>
    <mergeCell ref="L96:P96"/>
    <mergeCell ref="J123:J132"/>
    <mergeCell ref="L132:P132"/>
    <mergeCell ref="L115:P115"/>
    <mergeCell ref="L95:P95"/>
    <mergeCell ref="K64:L64"/>
    <mergeCell ref="E100:F105"/>
    <mergeCell ref="G100:H105"/>
    <mergeCell ref="J161:K161"/>
    <mergeCell ref="E159:K159"/>
    <mergeCell ref="E158:I158"/>
    <mergeCell ref="J158:K158"/>
    <mergeCell ref="M158:N158"/>
    <mergeCell ref="E84:F99"/>
    <mergeCell ref="G84:H99"/>
    <mergeCell ref="L113:P113"/>
    <mergeCell ref="J108:J119"/>
    <mergeCell ref="L119:P119"/>
    <mergeCell ref="L138:P138"/>
    <mergeCell ref="K84:L84"/>
    <mergeCell ref="L89:P89"/>
    <mergeCell ref="L137:P137"/>
    <mergeCell ref="I121:I132"/>
    <mergeCell ref="J120:P120"/>
    <mergeCell ref="L123:P123"/>
    <mergeCell ref="L111:P111"/>
    <mergeCell ref="E121:F132"/>
    <mergeCell ref="G121:H132"/>
    <mergeCell ref="E133:F139"/>
    <mergeCell ref="H174:H194"/>
    <mergeCell ref="F174:F194"/>
    <mergeCell ref="E168:P169"/>
    <mergeCell ref="E170:H171"/>
    <mergeCell ref="I170:L171"/>
    <mergeCell ref="L185:P185"/>
    <mergeCell ref="L186:P186"/>
    <mergeCell ref="L192:P192"/>
    <mergeCell ref="P170:P171"/>
    <mergeCell ref="L184:P184"/>
    <mergeCell ref="J173:P173"/>
    <mergeCell ref="K174:L174"/>
    <mergeCell ref="L187:P187"/>
    <mergeCell ref="L188:P188"/>
    <mergeCell ref="L180:P180"/>
    <mergeCell ref="J172:P172"/>
    <mergeCell ref="L193:P193"/>
    <mergeCell ref="L194:P194"/>
    <mergeCell ref="J152:K152"/>
    <mergeCell ref="E153:I153"/>
    <mergeCell ref="J153:K153"/>
    <mergeCell ref="E154:I154"/>
    <mergeCell ref="M155:N155"/>
    <mergeCell ref="G133:H139"/>
    <mergeCell ref="M152:N152"/>
    <mergeCell ref="J154:K154"/>
    <mergeCell ref="M154:N154"/>
    <mergeCell ref="K133:L133"/>
    <mergeCell ref="E3:G3"/>
    <mergeCell ref="I3:K3"/>
    <mergeCell ref="E5:E6"/>
    <mergeCell ref="G5:G6"/>
    <mergeCell ref="I5:I6"/>
    <mergeCell ref="K5:K6"/>
    <mergeCell ref="L47:P47"/>
    <mergeCell ref="J51:J63"/>
    <mergeCell ref="L51:P51"/>
    <mergeCell ref="E48:F48"/>
    <mergeCell ref="G48:H48"/>
    <mergeCell ref="K42:L42"/>
    <mergeCell ref="K50:L50"/>
    <mergeCell ref="L35:P35"/>
    <mergeCell ref="K34:L34"/>
    <mergeCell ref="O13:P13"/>
    <mergeCell ref="L13:N13"/>
    <mergeCell ref="L60:P60"/>
    <mergeCell ref="L56:P56"/>
    <mergeCell ref="L57:P57"/>
    <mergeCell ref="L58:P58"/>
    <mergeCell ref="L63:P63"/>
    <mergeCell ref="E33:F40"/>
    <mergeCell ref="G33:H40"/>
    <mergeCell ref="M16:N16"/>
    <mergeCell ref="M17:N17"/>
    <mergeCell ref="M18:N18"/>
    <mergeCell ref="M19:N19"/>
    <mergeCell ref="M20:N20"/>
    <mergeCell ref="M23:N23"/>
    <mergeCell ref="G31:H32"/>
    <mergeCell ref="E31:F32"/>
    <mergeCell ref="E21:K23"/>
    <mergeCell ref="J31:P31"/>
    <mergeCell ref="J32:P32"/>
    <mergeCell ref="E29:H30"/>
    <mergeCell ref="L83:P83"/>
    <mergeCell ref="I64:I73"/>
    <mergeCell ref="J66:J73"/>
    <mergeCell ref="I76:I83"/>
    <mergeCell ref="J78:J83"/>
    <mergeCell ref="I49:I63"/>
    <mergeCell ref="K49:L49"/>
    <mergeCell ref="E64:F73"/>
    <mergeCell ref="G64:H73"/>
    <mergeCell ref="L67:P67"/>
    <mergeCell ref="L68:P68"/>
    <mergeCell ref="L69:P69"/>
    <mergeCell ref="L73:P73"/>
    <mergeCell ref="L72:P72"/>
    <mergeCell ref="L71:P71"/>
    <mergeCell ref="L59:P59"/>
    <mergeCell ref="G76:H83"/>
    <mergeCell ref="G49:H63"/>
    <mergeCell ref="L61:P61"/>
    <mergeCell ref="G74:H75"/>
    <mergeCell ref="K85:L85"/>
    <mergeCell ref="L117:P117"/>
    <mergeCell ref="L118:P118"/>
    <mergeCell ref="L116:P116"/>
    <mergeCell ref="L92:P92"/>
    <mergeCell ref="L98:P98"/>
    <mergeCell ref="L99:P99"/>
    <mergeCell ref="I106:I119"/>
    <mergeCell ref="K107:L107"/>
    <mergeCell ref="K106:L106"/>
    <mergeCell ref="L109:P109"/>
    <mergeCell ref="L87:P87"/>
    <mergeCell ref="L97:P97"/>
    <mergeCell ref="L88:P88"/>
    <mergeCell ref="L108:P108"/>
    <mergeCell ref="L103:P103"/>
    <mergeCell ref="I100:I105"/>
    <mergeCell ref="L90:P90"/>
    <mergeCell ref="I84:I99"/>
    <mergeCell ref="K101:L101"/>
    <mergeCell ref="J102:J105"/>
    <mergeCell ref="L91:P91"/>
    <mergeCell ref="L94:P94"/>
    <mergeCell ref="L104:P104"/>
    <mergeCell ref="L105:P105"/>
    <mergeCell ref="L102:P102"/>
    <mergeCell ref="L86:P86"/>
    <mergeCell ref="L93:P93"/>
    <mergeCell ref="J86:J99"/>
    <mergeCell ref="K175:L175"/>
    <mergeCell ref="J176:J194"/>
    <mergeCell ref="L176:P176"/>
    <mergeCell ref="L177:P177"/>
    <mergeCell ref="L181:P181"/>
    <mergeCell ref="L130:P130"/>
    <mergeCell ref="K121:L121"/>
    <mergeCell ref="E151:K151"/>
    <mergeCell ref="G174:G194"/>
    <mergeCell ref="E152:I152"/>
    <mergeCell ref="E157:I157"/>
    <mergeCell ref="J157:K157"/>
    <mergeCell ref="E147:L148"/>
    <mergeCell ref="E156:I156"/>
    <mergeCell ref="J156:K156"/>
    <mergeCell ref="M156:N156"/>
    <mergeCell ref="I133:I139"/>
    <mergeCell ref="E155:K155"/>
    <mergeCell ref="M157:N157"/>
    <mergeCell ref="E207:E208"/>
    <mergeCell ref="F207:F208"/>
    <mergeCell ref="H207:H208"/>
    <mergeCell ref="I209:I219"/>
    <mergeCell ref="E221:E226"/>
    <mergeCell ref="F221:F226"/>
    <mergeCell ref="G221:G226"/>
    <mergeCell ref="H221:H226"/>
    <mergeCell ref="I221:I226"/>
    <mergeCell ref="K221:L221"/>
    <mergeCell ref="K222:L222"/>
    <mergeCell ref="L234:P234"/>
    <mergeCell ref="L235:P235"/>
    <mergeCell ref="K228:L228"/>
    <mergeCell ref="K229:L229"/>
    <mergeCell ref="J230:J235"/>
    <mergeCell ref="L230:P230"/>
    <mergeCell ref="L231:P231"/>
    <mergeCell ref="J227:P227"/>
    <mergeCell ref="J313:P313"/>
    <mergeCell ref="K314:L314"/>
    <mergeCell ref="K315:L315"/>
    <mergeCell ref="J316:J319"/>
    <mergeCell ref="L318:P318"/>
    <mergeCell ref="L319:P319"/>
    <mergeCell ref="L316:P316"/>
    <mergeCell ref="J223:J226"/>
    <mergeCell ref="L223:P223"/>
    <mergeCell ref="L224:P224"/>
    <mergeCell ref="L225:P225"/>
    <mergeCell ref="L226:P226"/>
    <mergeCell ref="J255:K255"/>
    <mergeCell ref="M251:N251"/>
    <mergeCell ref="J249:K249"/>
    <mergeCell ref="J253:K253"/>
    <mergeCell ref="E261:P262"/>
    <mergeCell ref="F265:F266"/>
    <mergeCell ref="J256:K256"/>
    <mergeCell ref="J257:K257"/>
    <mergeCell ref="J265:P265"/>
    <mergeCell ref="M256:N256"/>
    <mergeCell ref="O263:O264"/>
    <mergeCell ref="E263:H264"/>
    <mergeCell ref="F302:F312"/>
    <mergeCell ref="G302:G312"/>
    <mergeCell ref="H302:H312"/>
    <mergeCell ref="I302:I312"/>
    <mergeCell ref="K302:L302"/>
    <mergeCell ref="J304:J312"/>
    <mergeCell ref="L309:P309"/>
    <mergeCell ref="L311:P311"/>
    <mergeCell ref="L306:P306"/>
    <mergeCell ref="K303:L303"/>
    <mergeCell ref="E254:K254"/>
    <mergeCell ref="E249:I249"/>
    <mergeCell ref="M255:N255"/>
    <mergeCell ref="E247:I247"/>
    <mergeCell ref="M263:M264"/>
    <mergeCell ref="N263:N264"/>
    <mergeCell ref="J247:K247"/>
    <mergeCell ref="J248:K248"/>
    <mergeCell ref="G267:G287"/>
    <mergeCell ref="H267:H287"/>
    <mergeCell ref="H265:H266"/>
    <mergeCell ref="K268:L268"/>
    <mergeCell ref="G265:G266"/>
    <mergeCell ref="L286:P286"/>
    <mergeCell ref="L280:P280"/>
    <mergeCell ref="K267:L267"/>
    <mergeCell ref="L272:P272"/>
    <mergeCell ref="L282:P282"/>
    <mergeCell ref="L283:P283"/>
    <mergeCell ref="L278:P278"/>
    <mergeCell ref="J266:P266"/>
    <mergeCell ref="L287:P287"/>
    <mergeCell ref="L273:P273"/>
    <mergeCell ref="L269:P269"/>
    <mergeCell ref="E289:E299"/>
    <mergeCell ref="F289:F299"/>
    <mergeCell ref="G289:G299"/>
    <mergeCell ref="K290:L290"/>
    <mergeCell ref="J291:J299"/>
    <mergeCell ref="L317:P317"/>
    <mergeCell ref="L307:P307"/>
    <mergeCell ref="L308:P308"/>
    <mergeCell ref="L304:P304"/>
    <mergeCell ref="L310:P310"/>
    <mergeCell ref="L305:P305"/>
    <mergeCell ref="L312:P312"/>
    <mergeCell ref="E314:E319"/>
    <mergeCell ref="F314:F319"/>
    <mergeCell ref="G314:G319"/>
    <mergeCell ref="H314:H319"/>
    <mergeCell ref="I314:I319"/>
    <mergeCell ref="L291:P291"/>
    <mergeCell ref="L292:P292"/>
    <mergeCell ref="L293:P293"/>
    <mergeCell ref="L294:P294"/>
    <mergeCell ref="L299:P299"/>
    <mergeCell ref="G300:G301"/>
    <mergeCell ref="E302:E312"/>
    <mergeCell ref="C418:F421"/>
    <mergeCell ref="C457:F460"/>
    <mergeCell ref="K377:M377"/>
    <mergeCell ref="K434:M434"/>
    <mergeCell ref="J320:P320"/>
    <mergeCell ref="E321:E328"/>
    <mergeCell ref="F321:F328"/>
    <mergeCell ref="G321:G328"/>
    <mergeCell ref="H321:H328"/>
    <mergeCell ref="K458:K459"/>
    <mergeCell ref="L458:M459"/>
    <mergeCell ref="K451:M451"/>
    <mergeCell ref="L323:P323"/>
    <mergeCell ref="L324:P324"/>
    <mergeCell ref="L325:P325"/>
    <mergeCell ref="L326:P326"/>
    <mergeCell ref="L327:P327"/>
    <mergeCell ref="L328:P328"/>
    <mergeCell ref="K419:K420"/>
    <mergeCell ref="K412:M412"/>
    <mergeCell ref="L419:M420"/>
    <mergeCell ref="I321:I328"/>
    <mergeCell ref="J323:J328"/>
    <mergeCell ref="X86:Z89"/>
    <mergeCell ref="AA86:AA89"/>
    <mergeCell ref="K321:L321"/>
    <mergeCell ref="K322:L322"/>
    <mergeCell ref="R10:AA11"/>
    <mergeCell ref="R12:AA16"/>
    <mergeCell ref="X135:AA135"/>
    <mergeCell ref="AO10:BH11"/>
    <mergeCell ref="R242:AA243"/>
    <mergeCell ref="R244:AA247"/>
    <mergeCell ref="R147:AA148"/>
    <mergeCell ref="R149:AA152"/>
    <mergeCell ref="R135:R136"/>
    <mergeCell ref="X94:Z95"/>
    <mergeCell ref="W51:Z55"/>
    <mergeCell ref="AA51:AA55"/>
    <mergeCell ref="W56:Z59"/>
    <mergeCell ref="AA56:AA59"/>
    <mergeCell ref="W60:Z61"/>
    <mergeCell ref="AA60:AA61"/>
    <mergeCell ref="V205:W205"/>
    <mergeCell ref="AA94:AA95"/>
    <mergeCell ref="V110:Z112"/>
    <mergeCell ref="AA110:AA112"/>
  </mergeCells>
  <conditionalFormatting sqref="T135:T136">
    <cfRule type="containsText" dxfId="332" priority="322" operator="containsText" text="Choisir la composition de la structure --&gt;">
      <formula>NOT(ISERROR(SEARCH("Choisir la composition de la structure --&gt;",T135)))</formula>
    </cfRule>
  </conditionalFormatting>
  <conditionalFormatting sqref="Z141">
    <cfRule type="cellIs" dxfId="331" priority="320" stopIfTrue="1" operator="equal">
      <formula>2</formula>
    </cfRule>
    <cfRule type="cellIs" dxfId="330" priority="321" operator="equal">
      <formula>1</formula>
    </cfRule>
  </conditionalFormatting>
  <conditionalFormatting sqref="Y141">
    <cfRule type="cellIs" dxfId="329" priority="317" stopIfTrue="1" operator="equal">
      <formula>3</formula>
    </cfRule>
    <cfRule type="cellIs" dxfId="328" priority="318" stopIfTrue="1" operator="equal">
      <formula>2</formula>
    </cfRule>
    <cfRule type="cellIs" dxfId="327" priority="319" operator="equal">
      <formula>1</formula>
    </cfRule>
  </conditionalFormatting>
  <conditionalFormatting sqref="Z141">
    <cfRule type="cellIs" dxfId="326" priority="315" stopIfTrue="1" operator="equal">
      <formula>4</formula>
    </cfRule>
    <cfRule type="cellIs" dxfId="325" priority="316" stopIfTrue="1" operator="equal">
      <formula>3</formula>
    </cfRule>
  </conditionalFormatting>
  <conditionalFormatting sqref="Y141">
    <cfRule type="cellIs" dxfId="324" priority="314" stopIfTrue="1" operator="equal">
      <formula>4</formula>
    </cfRule>
  </conditionalFormatting>
  <conditionalFormatting sqref="S36">
    <cfRule type="expression" dxfId="323" priority="311">
      <formula>R36="à encoder"</formula>
    </cfRule>
    <cfRule type="expression" dxfId="322" priority="312">
      <formula>R36="NON"</formula>
    </cfRule>
    <cfRule type="expression" dxfId="321" priority="313">
      <formula>R36="OUI"</formula>
    </cfRule>
  </conditionalFormatting>
  <conditionalFormatting sqref="S37">
    <cfRule type="expression" dxfId="320" priority="308">
      <formula>R37="à encoder"</formula>
    </cfRule>
    <cfRule type="expression" dxfId="319" priority="309">
      <formula>R37="NON"</formula>
    </cfRule>
    <cfRule type="expression" dxfId="318" priority="310">
      <formula>R37="OUI"</formula>
    </cfRule>
  </conditionalFormatting>
  <conditionalFormatting sqref="S38">
    <cfRule type="expression" dxfId="317" priority="305">
      <formula>R38="à encoder"</formula>
    </cfRule>
    <cfRule type="expression" dxfId="316" priority="306">
      <formula>R38="NON"</formula>
    </cfRule>
    <cfRule type="expression" dxfId="315" priority="307">
      <formula>R38="OUI"</formula>
    </cfRule>
  </conditionalFormatting>
  <conditionalFormatting sqref="S39">
    <cfRule type="expression" dxfId="314" priority="302">
      <formula>R39="à encoder"</formula>
    </cfRule>
    <cfRule type="expression" dxfId="313" priority="303">
      <formula>R39="NON"</formula>
    </cfRule>
    <cfRule type="expression" dxfId="312" priority="304">
      <formula>R39="OUI"</formula>
    </cfRule>
  </conditionalFormatting>
  <conditionalFormatting sqref="S51">
    <cfRule type="expression" dxfId="311" priority="299">
      <formula>R51="à encoder"</formula>
    </cfRule>
    <cfRule type="expression" dxfId="310" priority="300">
      <formula>R51="NON"</formula>
    </cfRule>
    <cfRule type="expression" dxfId="309" priority="301">
      <formula>R51="OUI"</formula>
    </cfRule>
  </conditionalFormatting>
  <conditionalFormatting sqref="W51 W56 W60 V110 V113 W176 W181 V198 Z198 V212 Z212">
    <cfRule type="expression" dxfId="308" priority="298">
      <formula>"SOMME($S$51:$S$55)&gt;$M$17"</formula>
    </cfRule>
  </conditionalFormatting>
  <conditionalFormatting sqref="S56">
    <cfRule type="expression" dxfId="307" priority="295">
      <formula>R56="à encoder"</formula>
    </cfRule>
    <cfRule type="expression" dxfId="306" priority="296">
      <formula>R56="NON"</formula>
    </cfRule>
    <cfRule type="expression" dxfId="305" priority="297">
      <formula>R56="OUI"</formula>
    </cfRule>
  </conditionalFormatting>
  <conditionalFormatting sqref="S57">
    <cfRule type="expression" dxfId="304" priority="292">
      <formula>R57="à encoder"</formula>
    </cfRule>
    <cfRule type="expression" dxfId="303" priority="293">
      <formula>R57="NON"</formula>
    </cfRule>
    <cfRule type="expression" dxfId="302" priority="294">
      <formula>R57="OUI"</formula>
    </cfRule>
  </conditionalFormatting>
  <conditionalFormatting sqref="S58">
    <cfRule type="expression" dxfId="301" priority="289">
      <formula>R58="à encoder"</formula>
    </cfRule>
    <cfRule type="expression" dxfId="300" priority="290">
      <formula>R58="NON"</formula>
    </cfRule>
    <cfRule type="expression" dxfId="299" priority="291">
      <formula>R58="OUI"</formula>
    </cfRule>
  </conditionalFormatting>
  <conditionalFormatting sqref="S59">
    <cfRule type="expression" dxfId="298" priority="286">
      <formula>R59="à encoder"</formula>
    </cfRule>
    <cfRule type="expression" dxfId="297" priority="287">
      <formula>R59="NON"</formula>
    </cfRule>
    <cfRule type="expression" dxfId="296" priority="288">
      <formula>R59="OUI"</formula>
    </cfRule>
  </conditionalFormatting>
  <conditionalFormatting sqref="S52">
    <cfRule type="expression" dxfId="295" priority="282">
      <formula>R52="à encoder"</formula>
    </cfRule>
    <cfRule type="expression" dxfId="294" priority="283">
      <formula>R52="NON"</formula>
    </cfRule>
    <cfRule type="expression" dxfId="293" priority="284">
      <formula>R52="OUI"</formula>
    </cfRule>
  </conditionalFormatting>
  <conditionalFormatting sqref="S53">
    <cfRule type="expression" dxfId="292" priority="279">
      <formula>R53="à encoder"</formula>
    </cfRule>
    <cfRule type="expression" dxfId="291" priority="280">
      <formula>R53="NON"</formula>
    </cfRule>
    <cfRule type="expression" dxfId="290" priority="281">
      <formula>R53="OUI"</formula>
    </cfRule>
  </conditionalFormatting>
  <conditionalFormatting sqref="S54">
    <cfRule type="expression" dxfId="289" priority="276">
      <formula>R54="à encoder"</formula>
    </cfRule>
    <cfRule type="expression" dxfId="288" priority="277">
      <formula>R54="NON"</formula>
    </cfRule>
    <cfRule type="expression" dxfId="287" priority="278">
      <formula>R54="OUI"</formula>
    </cfRule>
  </conditionalFormatting>
  <conditionalFormatting sqref="S55">
    <cfRule type="expression" dxfId="286" priority="273">
      <formula>R55="à encoder"</formula>
    </cfRule>
    <cfRule type="expression" dxfId="285" priority="274">
      <formula>R55="NON"</formula>
    </cfRule>
    <cfRule type="expression" dxfId="284" priority="275">
      <formula>R55="OUI"</formula>
    </cfRule>
  </conditionalFormatting>
  <conditionalFormatting sqref="S60">
    <cfRule type="expression" dxfId="283" priority="270">
      <formula>R60="à encoder"</formula>
    </cfRule>
    <cfRule type="expression" dxfId="282" priority="271">
      <formula>R60="NON"</formula>
    </cfRule>
    <cfRule type="expression" dxfId="281" priority="272">
      <formula>R60="OUI"</formula>
    </cfRule>
  </conditionalFormatting>
  <conditionalFormatting sqref="S61">
    <cfRule type="expression" dxfId="280" priority="267">
      <formula>R61="à encoder"</formula>
    </cfRule>
    <cfRule type="expression" dxfId="279" priority="268">
      <formula>R61="NON"</formula>
    </cfRule>
    <cfRule type="expression" dxfId="278" priority="269">
      <formula>R61="OUI"</formula>
    </cfRule>
  </conditionalFormatting>
  <conditionalFormatting sqref="S86">
    <cfRule type="expression" dxfId="277" priority="263">
      <formula>R86="à encoder"</formula>
    </cfRule>
    <cfRule type="expression" dxfId="276" priority="264">
      <formula>R86="NON"</formula>
    </cfRule>
    <cfRule type="expression" dxfId="275" priority="265">
      <formula>R86="OUI"</formula>
    </cfRule>
  </conditionalFormatting>
  <conditionalFormatting sqref="S87">
    <cfRule type="expression" dxfId="274" priority="260">
      <formula>R87="à encoder"</formula>
    </cfRule>
    <cfRule type="expression" dxfId="273" priority="261">
      <formula>R87="NON"</formula>
    </cfRule>
    <cfRule type="expression" dxfId="272" priority="262">
      <formula>R87="OUI"</formula>
    </cfRule>
  </conditionalFormatting>
  <conditionalFormatting sqref="S88">
    <cfRule type="expression" dxfId="271" priority="257">
      <formula>R88="à encoder"</formula>
    </cfRule>
    <cfRule type="expression" dxfId="270" priority="258">
      <formula>R88="NON"</formula>
    </cfRule>
    <cfRule type="expression" dxfId="269" priority="259">
      <formula>R88="OUI"</formula>
    </cfRule>
  </conditionalFormatting>
  <conditionalFormatting sqref="S89">
    <cfRule type="expression" dxfId="268" priority="254">
      <formula>R89="à encoder"</formula>
    </cfRule>
    <cfRule type="expression" dxfId="267" priority="255">
      <formula>R89="NON"</formula>
    </cfRule>
    <cfRule type="expression" dxfId="266" priority="256">
      <formula>R89="OUI"</formula>
    </cfRule>
  </conditionalFormatting>
  <conditionalFormatting sqref="S90">
    <cfRule type="expression" dxfId="265" priority="251">
      <formula>R90="à encoder"</formula>
    </cfRule>
    <cfRule type="expression" dxfId="264" priority="252">
      <formula>R90="NON"</formula>
    </cfRule>
    <cfRule type="expression" dxfId="263" priority="253">
      <formula>R90="OUI"</formula>
    </cfRule>
  </conditionalFormatting>
  <conditionalFormatting sqref="S91">
    <cfRule type="expression" dxfId="262" priority="248">
      <formula>R91="à encoder"</formula>
    </cfRule>
    <cfRule type="expression" dxfId="261" priority="249">
      <formula>R91="NON"</formula>
    </cfRule>
    <cfRule type="expression" dxfId="260" priority="250">
      <formula>R91="OUI"</formula>
    </cfRule>
  </conditionalFormatting>
  <conditionalFormatting sqref="S92">
    <cfRule type="expression" dxfId="259" priority="245">
      <formula>R92="à encoder"</formula>
    </cfRule>
    <cfRule type="expression" dxfId="258" priority="246">
      <formula>R92="NON"</formula>
    </cfRule>
    <cfRule type="expression" dxfId="257" priority="247">
      <formula>R92="OUI"</formula>
    </cfRule>
  </conditionalFormatting>
  <conditionalFormatting sqref="S93">
    <cfRule type="expression" dxfId="256" priority="242">
      <formula>R93="à encoder"</formula>
    </cfRule>
    <cfRule type="expression" dxfId="255" priority="243">
      <formula>R93="NON"</formula>
    </cfRule>
    <cfRule type="expression" dxfId="254" priority="244">
      <formula>R93="OUI"</formula>
    </cfRule>
  </conditionalFormatting>
  <conditionalFormatting sqref="S94">
    <cfRule type="expression" dxfId="253" priority="239">
      <formula>R94="à encoder"</formula>
    </cfRule>
    <cfRule type="expression" dxfId="252" priority="240">
      <formula>R94="NON"</formula>
    </cfRule>
    <cfRule type="expression" dxfId="251" priority="241">
      <formula>R94="OUI"</formula>
    </cfRule>
  </conditionalFormatting>
  <conditionalFormatting sqref="S95">
    <cfRule type="expression" dxfId="250" priority="236">
      <formula>R95="à encoder"</formula>
    </cfRule>
    <cfRule type="expression" dxfId="249" priority="237">
      <formula>R95="NON"</formula>
    </cfRule>
    <cfRule type="expression" dxfId="248" priority="238">
      <formula>R95="OUI"</formula>
    </cfRule>
  </conditionalFormatting>
  <conditionalFormatting sqref="S110">
    <cfRule type="expression" dxfId="247" priority="233">
      <formula>R110="à encoder"</formula>
    </cfRule>
    <cfRule type="expression" dxfId="246" priority="234">
      <formula>R110="NON"</formula>
    </cfRule>
    <cfRule type="expression" dxfId="245" priority="235">
      <formula>R110="OUI"</formula>
    </cfRule>
  </conditionalFormatting>
  <conditionalFormatting sqref="S111">
    <cfRule type="expression" dxfId="244" priority="230">
      <formula>R111="à encoder"</formula>
    </cfRule>
    <cfRule type="expression" dxfId="243" priority="231">
      <formula>R111="NON"</formula>
    </cfRule>
    <cfRule type="expression" dxfId="242" priority="232">
      <formula>R111="OUI"</formula>
    </cfRule>
  </conditionalFormatting>
  <conditionalFormatting sqref="S112">
    <cfRule type="expression" dxfId="241" priority="227">
      <formula>R112="à encoder"</formula>
    </cfRule>
    <cfRule type="expression" dxfId="240" priority="228">
      <formula>R112="NON"</formula>
    </cfRule>
    <cfRule type="expression" dxfId="239" priority="229">
      <formula>R112="OUI"</formula>
    </cfRule>
  </conditionalFormatting>
  <conditionalFormatting sqref="S113">
    <cfRule type="expression" dxfId="238" priority="224">
      <formula>R113="à encoder"</formula>
    </cfRule>
    <cfRule type="expression" dxfId="237" priority="225">
      <formula>R113="NON"</formula>
    </cfRule>
    <cfRule type="expression" dxfId="236" priority="226">
      <formula>R113="OUI"</formula>
    </cfRule>
  </conditionalFormatting>
  <conditionalFormatting sqref="S114">
    <cfRule type="expression" dxfId="235" priority="221">
      <formula>R114="à encoder"</formula>
    </cfRule>
    <cfRule type="expression" dxfId="234" priority="222">
      <formula>R114="NON"</formula>
    </cfRule>
    <cfRule type="expression" dxfId="233" priority="223">
      <formula>R114="OUI"</formula>
    </cfRule>
  </conditionalFormatting>
  <conditionalFormatting sqref="S115">
    <cfRule type="expression" dxfId="232" priority="218">
      <formula>R115="à encoder"</formula>
    </cfRule>
    <cfRule type="expression" dxfId="231" priority="219">
      <formula>R115="NON"</formula>
    </cfRule>
    <cfRule type="expression" dxfId="230" priority="220">
      <formula>R115="OUI"</formula>
    </cfRule>
  </conditionalFormatting>
  <conditionalFormatting sqref="S116">
    <cfRule type="expression" dxfId="229" priority="215">
      <formula>R116="à encoder"</formula>
    </cfRule>
    <cfRule type="expression" dxfId="228" priority="216">
      <formula>R116="NON"</formula>
    </cfRule>
    <cfRule type="expression" dxfId="227" priority="217">
      <formula>R116="OUI"</formula>
    </cfRule>
  </conditionalFormatting>
  <conditionalFormatting sqref="X135:AA136">
    <cfRule type="expression" dxfId="226" priority="211">
      <formula>$R$135="à encoder"</formula>
    </cfRule>
    <cfRule type="expression" dxfId="225" priority="212">
      <formula>$R$135="NON"</formula>
    </cfRule>
  </conditionalFormatting>
  <conditionalFormatting sqref="X137:AA137">
    <cfRule type="expression" dxfId="224" priority="208">
      <formula>$R$137="à encoder"</formula>
    </cfRule>
  </conditionalFormatting>
  <conditionalFormatting sqref="X138:AA138">
    <cfRule type="expression" dxfId="223" priority="206">
      <formula>$T$138="Passer à la question suivante"</formula>
    </cfRule>
    <cfRule type="expression" dxfId="222" priority="207">
      <formula>$R$137="à encoder"</formula>
    </cfRule>
  </conditionalFormatting>
  <conditionalFormatting sqref="X139:AA139">
    <cfRule type="expression" dxfId="221" priority="204">
      <formula>$R$137="SANDWICH"</formula>
    </cfRule>
    <cfRule type="expression" dxfId="220" priority="205">
      <formula>$R$137="à encoder"</formula>
    </cfRule>
  </conditionalFormatting>
  <conditionalFormatting sqref="T139">
    <cfRule type="expression" dxfId="219" priority="203">
      <formula>$R$137="SANDWICH"</formula>
    </cfRule>
  </conditionalFormatting>
  <conditionalFormatting sqref="S176">
    <cfRule type="expression" dxfId="218" priority="200">
      <formula>R176="à encoder"</formula>
    </cfRule>
    <cfRule type="expression" dxfId="217" priority="201">
      <formula>R176="NON"</formula>
    </cfRule>
    <cfRule type="expression" dxfId="216" priority="202">
      <formula>R176="OUI"</formula>
    </cfRule>
  </conditionalFormatting>
  <conditionalFormatting sqref="S177">
    <cfRule type="expression" dxfId="215" priority="197">
      <formula>R177="à encoder"</formula>
    </cfRule>
    <cfRule type="expression" dxfId="214" priority="198">
      <formula>R177="NON"</formula>
    </cfRule>
    <cfRule type="expression" dxfId="213" priority="199">
      <formula>R177="OUI"</formula>
    </cfRule>
  </conditionalFormatting>
  <conditionalFormatting sqref="S178">
    <cfRule type="expression" dxfId="212" priority="194">
      <formula>R178="à encoder"</formula>
    </cfRule>
    <cfRule type="expression" dxfId="211" priority="195">
      <formula>R178="NON"</formula>
    </cfRule>
    <cfRule type="expression" dxfId="210" priority="196">
      <formula>R178="OUI"</formula>
    </cfRule>
  </conditionalFormatting>
  <conditionalFormatting sqref="S179">
    <cfRule type="expression" dxfId="209" priority="191">
      <formula>R179="à encoder"</formula>
    </cfRule>
    <cfRule type="expression" dxfId="208" priority="192">
      <formula>R179="NON"</formula>
    </cfRule>
    <cfRule type="expression" dxfId="207" priority="193">
      <formula>R179="OUI"</formula>
    </cfRule>
  </conditionalFormatting>
  <conditionalFormatting sqref="S181">
    <cfRule type="expression" dxfId="206" priority="187">
      <formula>R181="à encoder"</formula>
    </cfRule>
    <cfRule type="expression" dxfId="205" priority="188">
      <formula>R181="NON"</formula>
    </cfRule>
    <cfRule type="expression" dxfId="204" priority="189">
      <formula>R181="OUI"</formula>
    </cfRule>
  </conditionalFormatting>
  <conditionalFormatting sqref="S182">
    <cfRule type="expression" dxfId="203" priority="184">
      <formula>R182="à encoder"</formula>
    </cfRule>
    <cfRule type="expression" dxfId="202" priority="185">
      <formula>R182="NON"</formula>
    </cfRule>
    <cfRule type="expression" dxfId="201" priority="186">
      <formula>R182="OUI"</formula>
    </cfRule>
  </conditionalFormatting>
  <conditionalFormatting sqref="S183">
    <cfRule type="expression" dxfId="200" priority="181">
      <formula>R183="à encoder"</formula>
    </cfRule>
    <cfRule type="expression" dxfId="199" priority="182">
      <formula>R183="NON"</formula>
    </cfRule>
    <cfRule type="expression" dxfId="198" priority="183">
      <formula>R183="OUI"</formula>
    </cfRule>
  </conditionalFormatting>
  <conditionalFormatting sqref="S184">
    <cfRule type="expression" dxfId="197" priority="178">
      <formula>R184="à encoder"</formula>
    </cfRule>
    <cfRule type="expression" dxfId="196" priority="179">
      <formula>R184="NON"</formula>
    </cfRule>
    <cfRule type="expression" dxfId="195" priority="180">
      <formula>R184="OUI"</formula>
    </cfRule>
  </conditionalFormatting>
  <conditionalFormatting sqref="S185">
    <cfRule type="expression" dxfId="194" priority="175">
      <formula>R185="à encoder"</formula>
    </cfRule>
    <cfRule type="expression" dxfId="193" priority="176">
      <formula>R185="NON"</formula>
    </cfRule>
    <cfRule type="expression" dxfId="192" priority="177">
      <formula>R185="OUI"</formula>
    </cfRule>
  </conditionalFormatting>
  <conditionalFormatting sqref="S186">
    <cfRule type="expression" dxfId="191" priority="172">
      <formula>R186="à encoder"</formula>
    </cfRule>
    <cfRule type="expression" dxfId="190" priority="173">
      <formula>R186="NON"</formula>
    </cfRule>
    <cfRule type="expression" dxfId="189" priority="174">
      <formula>R186="OUI"</formula>
    </cfRule>
  </conditionalFormatting>
  <conditionalFormatting sqref="S187">
    <cfRule type="expression" dxfId="188" priority="169">
      <formula>R187="à encoder"</formula>
    </cfRule>
    <cfRule type="expression" dxfId="187" priority="170">
      <formula>R187="NON"</formula>
    </cfRule>
    <cfRule type="expression" dxfId="186" priority="171">
      <formula>R187="OUI"</formula>
    </cfRule>
  </conditionalFormatting>
  <conditionalFormatting sqref="S188">
    <cfRule type="expression" dxfId="185" priority="166">
      <formula>R188="à encoder"</formula>
    </cfRule>
    <cfRule type="expression" dxfId="184" priority="167">
      <formula>R188="NON"</formula>
    </cfRule>
    <cfRule type="expression" dxfId="183" priority="168">
      <formula>R188="OUI"</formula>
    </cfRule>
  </conditionalFormatting>
  <conditionalFormatting sqref="S189">
    <cfRule type="expression" dxfId="182" priority="163">
      <formula>R189="à encoder"</formula>
    </cfRule>
    <cfRule type="expression" dxfId="181" priority="164">
      <formula>R189="NON"</formula>
    </cfRule>
    <cfRule type="expression" dxfId="180" priority="165">
      <formula>R189="OUI"</formula>
    </cfRule>
  </conditionalFormatting>
  <conditionalFormatting sqref="S190">
    <cfRule type="expression" dxfId="179" priority="160">
      <formula>R190="à encoder"</formula>
    </cfRule>
    <cfRule type="expression" dxfId="178" priority="161">
      <formula>R190="NON"</formula>
    </cfRule>
    <cfRule type="expression" dxfId="177" priority="162">
      <formula>R190="OUI"</formula>
    </cfRule>
  </conditionalFormatting>
  <conditionalFormatting sqref="S191">
    <cfRule type="expression" dxfId="176" priority="157">
      <formula>R191="à encoder"</formula>
    </cfRule>
    <cfRule type="expression" dxfId="175" priority="158">
      <formula>R191="NON"</formula>
    </cfRule>
    <cfRule type="expression" dxfId="174" priority="159">
      <formula>R191="OUI"</formula>
    </cfRule>
  </conditionalFormatting>
  <conditionalFormatting sqref="S192">
    <cfRule type="expression" dxfId="173" priority="154">
      <formula>R192="à encoder"</formula>
    </cfRule>
    <cfRule type="expression" dxfId="172" priority="155">
      <formula>R192="NON"</formula>
    </cfRule>
    <cfRule type="expression" dxfId="171" priority="156">
      <formula>R192="OUI"</formula>
    </cfRule>
  </conditionalFormatting>
  <conditionalFormatting sqref="S193">
    <cfRule type="expression" dxfId="170" priority="151">
      <formula>R193="à encoder"</formula>
    </cfRule>
    <cfRule type="expression" dxfId="169" priority="152">
      <formula>R193="NON"</formula>
    </cfRule>
    <cfRule type="expression" dxfId="168" priority="153">
      <formula>R193="OUI"</formula>
    </cfRule>
  </conditionalFormatting>
  <conditionalFormatting sqref="S194">
    <cfRule type="expression" dxfId="167" priority="148">
      <formula>R194="à encoder"</formula>
    </cfRule>
    <cfRule type="expression" dxfId="166" priority="149">
      <formula>R194="NON"</formula>
    </cfRule>
    <cfRule type="expression" dxfId="165" priority="150">
      <formula>R194="OUI"</formula>
    </cfRule>
  </conditionalFormatting>
  <conditionalFormatting sqref="S198">
    <cfRule type="expression" dxfId="164" priority="144">
      <formula>R198="à encoder"</formula>
    </cfRule>
    <cfRule type="expression" dxfId="163" priority="145">
      <formula>R198="NON"</formula>
    </cfRule>
    <cfRule type="expression" dxfId="162" priority="146">
      <formula>R198="OUI"</formula>
    </cfRule>
  </conditionalFormatting>
  <conditionalFormatting sqref="S199">
    <cfRule type="expression" dxfId="161" priority="141">
      <formula>R199="à encoder"</formula>
    </cfRule>
    <cfRule type="expression" dxfId="160" priority="142">
      <formula>R199="NON"</formula>
    </cfRule>
    <cfRule type="expression" dxfId="159" priority="143">
      <formula>R199="OUI"</formula>
    </cfRule>
  </conditionalFormatting>
  <conditionalFormatting sqref="S200">
    <cfRule type="expression" dxfId="158" priority="138">
      <formula>R200="à encoder"</formula>
    </cfRule>
    <cfRule type="expression" dxfId="157" priority="139">
      <formula>R200="NON"</formula>
    </cfRule>
    <cfRule type="expression" dxfId="156" priority="140">
      <formula>R200="OUI"</formula>
    </cfRule>
  </conditionalFormatting>
  <conditionalFormatting sqref="S201">
    <cfRule type="expression" dxfId="155" priority="135">
      <formula>R201="à encoder"</formula>
    </cfRule>
    <cfRule type="expression" dxfId="154" priority="136">
      <formula>R201="NON"</formula>
    </cfRule>
    <cfRule type="expression" dxfId="153" priority="137">
      <formula>R201="OUI"</formula>
    </cfRule>
  </conditionalFormatting>
  <conditionalFormatting sqref="S298">
    <cfRule type="expression" dxfId="152" priority="132">
      <formula>R298="à encoder"</formula>
    </cfRule>
    <cfRule type="expression" dxfId="151" priority="133">
      <formula>R298="NON"</formula>
    </cfRule>
    <cfRule type="expression" dxfId="150" priority="134">
      <formula>R298="OUI"</formula>
    </cfRule>
  </conditionalFormatting>
  <conditionalFormatting sqref="S202">
    <cfRule type="expression" dxfId="149" priority="129">
      <formula>R202="à encoder"</formula>
    </cfRule>
    <cfRule type="expression" dxfId="148" priority="130">
      <formula>R202="NON"</formula>
    </cfRule>
    <cfRule type="expression" dxfId="147" priority="131">
      <formula>R202="OUI"</formula>
    </cfRule>
  </conditionalFormatting>
  <conditionalFormatting sqref="S203">
    <cfRule type="expression" dxfId="146" priority="126">
      <formula>R203="à encoder"</formula>
    </cfRule>
    <cfRule type="expression" dxfId="145" priority="127">
      <formula>R203="NON"</formula>
    </cfRule>
    <cfRule type="expression" dxfId="144" priority="128">
      <formula>R203="OUI"</formula>
    </cfRule>
  </conditionalFormatting>
  <conditionalFormatting sqref="S204">
    <cfRule type="expression" dxfId="143" priority="123">
      <formula>R204="à encoder"</formula>
    </cfRule>
    <cfRule type="expression" dxfId="142" priority="124">
      <formula>R204="NON"</formula>
    </cfRule>
    <cfRule type="expression" dxfId="141" priority="125">
      <formula>R204="OUI"</formula>
    </cfRule>
  </conditionalFormatting>
  <conditionalFormatting sqref="S205">
    <cfRule type="expression" dxfId="140" priority="120">
      <formula>R205="à encoder"</formula>
    </cfRule>
    <cfRule type="expression" dxfId="139" priority="121">
      <formula>R205="NON"</formula>
    </cfRule>
    <cfRule type="expression" dxfId="138" priority="122">
      <formula>R205="OUI"</formula>
    </cfRule>
  </conditionalFormatting>
  <conditionalFormatting sqref="S212">
    <cfRule type="expression" dxfId="137" priority="117">
      <formula>R212="à encoder"</formula>
    </cfRule>
    <cfRule type="expression" dxfId="136" priority="118">
      <formula>R212="NON"</formula>
    </cfRule>
    <cfRule type="expression" dxfId="135" priority="119">
      <formula>R212="OUI"</formula>
    </cfRule>
  </conditionalFormatting>
  <conditionalFormatting sqref="S293">
    <cfRule type="expression" dxfId="134" priority="114">
      <formula>R293="à encoder"</formula>
    </cfRule>
    <cfRule type="expression" dxfId="133" priority="115">
      <formula>R293="NON"</formula>
    </cfRule>
    <cfRule type="expression" dxfId="132" priority="116">
      <formula>R293="OUI"</formula>
    </cfRule>
  </conditionalFormatting>
  <conditionalFormatting sqref="S213">
    <cfRule type="expression" dxfId="131" priority="111">
      <formula>R213="à encoder"</formula>
    </cfRule>
    <cfRule type="expression" dxfId="130" priority="112">
      <formula>R213="NON"</formula>
    </cfRule>
    <cfRule type="expression" dxfId="129" priority="113">
      <formula>R213="OUI"</formula>
    </cfRule>
  </conditionalFormatting>
  <conditionalFormatting sqref="S214">
    <cfRule type="expression" dxfId="128" priority="108">
      <formula>R214="à encoder"</formula>
    </cfRule>
    <cfRule type="expression" dxfId="127" priority="109">
      <formula>R214="NON"</formula>
    </cfRule>
    <cfRule type="expression" dxfId="126" priority="110">
      <formula>R214="OUI"</formula>
    </cfRule>
  </conditionalFormatting>
  <conditionalFormatting sqref="S215">
    <cfRule type="expression" dxfId="125" priority="105">
      <formula>R215="à encoder"</formula>
    </cfRule>
    <cfRule type="expression" dxfId="124" priority="106">
      <formula>R215="NON"</formula>
    </cfRule>
    <cfRule type="expression" dxfId="123" priority="107">
      <formula>R215="OUI"</formula>
    </cfRule>
  </conditionalFormatting>
  <conditionalFormatting sqref="S216">
    <cfRule type="expression" dxfId="122" priority="102">
      <formula>R216="à encoder"</formula>
    </cfRule>
    <cfRule type="expression" dxfId="121" priority="103">
      <formula>R216="NON"</formula>
    </cfRule>
    <cfRule type="expression" dxfId="120" priority="104">
      <formula>R216="OUI"</formula>
    </cfRule>
  </conditionalFormatting>
  <conditionalFormatting sqref="S217">
    <cfRule type="expression" dxfId="119" priority="99">
      <formula>R217="à encoder"</formula>
    </cfRule>
    <cfRule type="expression" dxfId="118" priority="100">
      <formula>R217="NON"</formula>
    </cfRule>
    <cfRule type="expression" dxfId="117" priority="101">
      <formula>R217="OUI"</formula>
    </cfRule>
  </conditionalFormatting>
  <conditionalFormatting sqref="S218">
    <cfRule type="expression" dxfId="116" priority="96">
      <formula>R218="à encoder"</formula>
    </cfRule>
    <cfRule type="expression" dxfId="115" priority="97">
      <formula>R218="NON"</formula>
    </cfRule>
    <cfRule type="expression" dxfId="114" priority="98">
      <formula>R218="OUI"</formula>
    </cfRule>
  </conditionalFormatting>
  <conditionalFormatting sqref="S269">
    <cfRule type="expression" dxfId="113" priority="91">
      <formula>R269="à encoder"</formula>
    </cfRule>
    <cfRule type="expression" dxfId="112" priority="92">
      <formula>R269="NON"</formula>
    </cfRule>
    <cfRule type="expression" dxfId="111" priority="93">
      <formula>R269="OUI"</formula>
    </cfRule>
  </conditionalFormatting>
  <conditionalFormatting sqref="S270">
    <cfRule type="expression" dxfId="110" priority="88">
      <formula>R270="à encoder"</formula>
    </cfRule>
    <cfRule type="expression" dxfId="109" priority="89">
      <formula>R270="NON"</formula>
    </cfRule>
    <cfRule type="expression" dxfId="108" priority="90">
      <formula>R270="OUI"</formula>
    </cfRule>
  </conditionalFormatting>
  <conditionalFormatting sqref="S271">
    <cfRule type="expression" dxfId="107" priority="85">
      <formula>R271="à encoder"</formula>
    </cfRule>
    <cfRule type="expression" dxfId="106" priority="86">
      <formula>R271="NON"</formula>
    </cfRule>
    <cfRule type="expression" dxfId="105" priority="87">
      <formula>R271="OUI"</formula>
    </cfRule>
  </conditionalFormatting>
  <conditionalFormatting sqref="S272">
    <cfRule type="expression" dxfId="104" priority="82">
      <formula>R272="à encoder"</formula>
    </cfRule>
    <cfRule type="expression" dxfId="103" priority="83">
      <formula>R272="NON"</formula>
    </cfRule>
    <cfRule type="expression" dxfId="102" priority="84">
      <formula>R272="OUI"</formula>
    </cfRule>
  </conditionalFormatting>
  <conditionalFormatting sqref="S274">
    <cfRule type="expression" dxfId="101" priority="79">
      <formula>R274="à encoder"</formula>
    </cfRule>
    <cfRule type="expression" dxfId="100" priority="80">
      <formula>R274="NON"</formula>
    </cfRule>
    <cfRule type="expression" dxfId="99" priority="81">
      <formula>R274="OUI"</formula>
    </cfRule>
  </conditionalFormatting>
  <conditionalFormatting sqref="S275">
    <cfRule type="expression" dxfId="98" priority="76">
      <formula>R275="à encoder"</formula>
    </cfRule>
    <cfRule type="expression" dxfId="97" priority="77">
      <formula>R275="NON"</formula>
    </cfRule>
    <cfRule type="expression" dxfId="96" priority="78">
      <formula>R275="OUI"</formula>
    </cfRule>
  </conditionalFormatting>
  <conditionalFormatting sqref="S276">
    <cfRule type="expression" dxfId="95" priority="73">
      <formula>R276="à encoder"</formula>
    </cfRule>
    <cfRule type="expression" dxfId="94" priority="74">
      <formula>R276="NON"</formula>
    </cfRule>
    <cfRule type="expression" dxfId="93" priority="75">
      <formula>R276="OUI"</formula>
    </cfRule>
  </conditionalFormatting>
  <conditionalFormatting sqref="S277">
    <cfRule type="expression" dxfId="92" priority="70">
      <formula>R277="à encoder"</formula>
    </cfRule>
    <cfRule type="expression" dxfId="91" priority="71">
      <formula>R277="NON"</formula>
    </cfRule>
    <cfRule type="expression" dxfId="90" priority="72">
      <formula>R277="OUI"</formula>
    </cfRule>
  </conditionalFormatting>
  <conditionalFormatting sqref="S278">
    <cfRule type="expression" dxfId="89" priority="67">
      <formula>R278="à encoder"</formula>
    </cfRule>
    <cfRule type="expression" dxfId="88" priority="68">
      <formula>R278="NON"</formula>
    </cfRule>
    <cfRule type="expression" dxfId="87" priority="69">
      <formula>R278="OUI"</formula>
    </cfRule>
  </conditionalFormatting>
  <conditionalFormatting sqref="S279">
    <cfRule type="expression" dxfId="86" priority="64">
      <formula>R279="à encoder"</formula>
    </cfRule>
    <cfRule type="expression" dxfId="85" priority="65">
      <formula>R279="NON"</formula>
    </cfRule>
    <cfRule type="expression" dxfId="84" priority="66">
      <formula>R279="OUI"</formula>
    </cfRule>
  </conditionalFormatting>
  <conditionalFormatting sqref="S280">
    <cfRule type="expression" dxfId="83" priority="61">
      <formula>R280="à encoder"</formula>
    </cfRule>
    <cfRule type="expression" dxfId="82" priority="62">
      <formula>R280="NON"</formula>
    </cfRule>
    <cfRule type="expression" dxfId="81" priority="63">
      <formula>R280="OUI"</formula>
    </cfRule>
  </conditionalFormatting>
  <conditionalFormatting sqref="S281">
    <cfRule type="expression" dxfId="80" priority="58">
      <formula>R281="à encoder"</formula>
    </cfRule>
    <cfRule type="expression" dxfId="79" priority="59">
      <formula>R281="NON"</formula>
    </cfRule>
    <cfRule type="expression" dxfId="78" priority="60">
      <formula>R281="OUI"</formula>
    </cfRule>
  </conditionalFormatting>
  <conditionalFormatting sqref="S282">
    <cfRule type="expression" dxfId="77" priority="55">
      <formula>R282="à encoder"</formula>
    </cfRule>
    <cfRule type="expression" dxfId="76" priority="56">
      <formula>R282="NON"</formula>
    </cfRule>
    <cfRule type="expression" dxfId="75" priority="57">
      <formula>R282="OUI"</formula>
    </cfRule>
  </conditionalFormatting>
  <conditionalFormatting sqref="S283">
    <cfRule type="expression" dxfId="74" priority="52">
      <formula>R283="à encoder"</formula>
    </cfRule>
    <cfRule type="expression" dxfId="73" priority="53">
      <formula>R283="NON"</formula>
    </cfRule>
    <cfRule type="expression" dxfId="72" priority="54">
      <formula>R283="OUI"</formula>
    </cfRule>
  </conditionalFormatting>
  <conditionalFormatting sqref="S284">
    <cfRule type="expression" dxfId="71" priority="49">
      <formula>R284="à encoder"</formula>
    </cfRule>
    <cfRule type="expression" dxfId="70" priority="50">
      <formula>R284="NON"</formula>
    </cfRule>
    <cfRule type="expression" dxfId="69" priority="51">
      <formula>R284="OUI"</formula>
    </cfRule>
  </conditionalFormatting>
  <conditionalFormatting sqref="S285">
    <cfRule type="expression" dxfId="68" priority="46">
      <formula>R285="à encoder"</formula>
    </cfRule>
    <cfRule type="expression" dxfId="67" priority="47">
      <formula>R285="NON"</formula>
    </cfRule>
    <cfRule type="expression" dxfId="66" priority="48">
      <formula>R285="OUI"</formula>
    </cfRule>
  </conditionalFormatting>
  <conditionalFormatting sqref="S286">
    <cfRule type="expression" dxfId="65" priority="43">
      <formula>R286="à encoder"</formula>
    </cfRule>
    <cfRule type="expression" dxfId="64" priority="44">
      <formula>R286="NON"</formula>
    </cfRule>
    <cfRule type="expression" dxfId="63" priority="45">
      <formula>R286="OUI"</formula>
    </cfRule>
  </conditionalFormatting>
  <conditionalFormatting sqref="S287">
    <cfRule type="expression" dxfId="62" priority="40">
      <formula>R287="à encoder"</formula>
    </cfRule>
    <cfRule type="expression" dxfId="61" priority="41">
      <formula>R287="NON"</formula>
    </cfRule>
    <cfRule type="expression" dxfId="60" priority="42">
      <formula>R287="OUI"</formula>
    </cfRule>
  </conditionalFormatting>
  <conditionalFormatting sqref="S291">
    <cfRule type="expression" dxfId="59" priority="37">
      <formula>R291="à encoder"</formula>
    </cfRule>
    <cfRule type="expression" dxfId="58" priority="38">
      <formula>R291="NON"</formula>
    </cfRule>
    <cfRule type="expression" dxfId="57" priority="39">
      <formula>R291="OUI"</formula>
    </cfRule>
  </conditionalFormatting>
  <conditionalFormatting sqref="S292">
    <cfRule type="expression" dxfId="56" priority="34">
      <formula>R292="à encoder"</formula>
    </cfRule>
    <cfRule type="expression" dxfId="55" priority="35">
      <formula>R292="NON"</formula>
    </cfRule>
    <cfRule type="expression" dxfId="54" priority="36">
      <formula>R292="OUI"</formula>
    </cfRule>
  </conditionalFormatting>
  <conditionalFormatting sqref="S294">
    <cfRule type="expression" dxfId="53" priority="31">
      <formula>R294="à encoder"</formula>
    </cfRule>
    <cfRule type="expression" dxfId="52" priority="32">
      <formula>R294="NON"</formula>
    </cfRule>
    <cfRule type="expression" dxfId="51" priority="33">
      <formula>R294="OUI"</formula>
    </cfRule>
  </conditionalFormatting>
  <conditionalFormatting sqref="S295">
    <cfRule type="expression" dxfId="50" priority="28">
      <formula>R295="à encoder"</formula>
    </cfRule>
    <cfRule type="expression" dxfId="49" priority="29">
      <formula>R295="NON"</formula>
    </cfRule>
    <cfRule type="expression" dxfId="48" priority="30">
      <formula>R295="OUI"</formula>
    </cfRule>
  </conditionalFormatting>
  <conditionalFormatting sqref="S296">
    <cfRule type="expression" dxfId="47" priority="25">
      <formula>R296="à encoder"</formula>
    </cfRule>
    <cfRule type="expression" dxfId="46" priority="26">
      <formula>R296="NON"</formula>
    </cfRule>
    <cfRule type="expression" dxfId="45" priority="27">
      <formula>R296="OUI"</formula>
    </cfRule>
  </conditionalFormatting>
  <conditionalFormatting sqref="S297">
    <cfRule type="expression" dxfId="44" priority="22">
      <formula>R297="à encoder"</formula>
    </cfRule>
    <cfRule type="expression" dxfId="43" priority="23">
      <formula>R297="NON"</formula>
    </cfRule>
    <cfRule type="expression" dxfId="42" priority="24">
      <formula>R297="OUI"</formula>
    </cfRule>
  </conditionalFormatting>
  <conditionalFormatting sqref="S305">
    <cfRule type="expression" dxfId="41" priority="19">
      <formula>R305="à encoder"</formula>
    </cfRule>
    <cfRule type="expression" dxfId="40" priority="20">
      <formula>R305="NON"</formula>
    </cfRule>
    <cfRule type="expression" dxfId="39" priority="21">
      <formula>R305="OUI"</formula>
    </cfRule>
  </conditionalFormatting>
  <conditionalFormatting sqref="S306">
    <cfRule type="expression" dxfId="38" priority="16">
      <formula>R306="à encoder"</formula>
    </cfRule>
    <cfRule type="expression" dxfId="37" priority="17">
      <formula>R306="NON"</formula>
    </cfRule>
    <cfRule type="expression" dxfId="36" priority="18">
      <formula>R306="OUI"</formula>
    </cfRule>
  </conditionalFormatting>
  <conditionalFormatting sqref="S307">
    <cfRule type="expression" dxfId="35" priority="13">
      <formula>R307="à encoder"</formula>
    </cfRule>
    <cfRule type="expression" dxfId="34" priority="14">
      <formula>R307="NON"</formula>
    </cfRule>
    <cfRule type="expression" dxfId="33" priority="15">
      <formula>R307="OUI"</formula>
    </cfRule>
  </conditionalFormatting>
  <conditionalFormatting sqref="S308">
    <cfRule type="expression" dxfId="32" priority="10">
      <formula>R308="à encoder"</formula>
    </cfRule>
    <cfRule type="expression" dxfId="31" priority="11">
      <formula>R308="NON"</formula>
    </cfRule>
    <cfRule type="expression" dxfId="30" priority="12">
      <formula>R308="OUI"</formula>
    </cfRule>
  </conditionalFormatting>
  <conditionalFormatting sqref="S309">
    <cfRule type="expression" dxfId="29" priority="7">
      <formula>R309="à encoder"</formula>
    </cfRule>
    <cfRule type="expression" dxfId="28" priority="8">
      <formula>R309="NON"</formula>
    </cfRule>
    <cfRule type="expression" dxfId="27" priority="9">
      <formula>R309="OUI"</formula>
    </cfRule>
  </conditionalFormatting>
  <conditionalFormatting sqref="S310">
    <cfRule type="expression" dxfId="26" priority="4">
      <formula>R310="à encoder"</formula>
    </cfRule>
    <cfRule type="expression" dxfId="25" priority="5">
      <formula>R310="NON"</formula>
    </cfRule>
    <cfRule type="expression" dxfId="24" priority="6">
      <formula>R310="OUI"</formula>
    </cfRule>
  </conditionalFormatting>
  <conditionalFormatting sqref="S311">
    <cfRule type="expression" dxfId="23" priority="1">
      <formula>R311="à encoder"</formula>
    </cfRule>
    <cfRule type="expression" dxfId="22" priority="2">
      <formula>R311="NON"</formula>
    </cfRule>
    <cfRule type="expression" dxfId="21" priority="3">
      <formula>R311="OUI"</formula>
    </cfRule>
  </conditionalFormatting>
  <dataValidations count="29">
    <dataValidation type="decimal" allowBlank="1" showInputMessage="1" showErrorMessage="1" errorTitle="Erreur" error="La valeur dépasse la surface encodée dans les caractéristiques physiques du bâtiment, surfaces façades_x000a_Ou_x000a_Encodez un nombre décimal supérieur à 0" sqref="S38">
      <formula1>0</formula1>
      <formula2>M17-M19</formula2>
    </dataValidation>
    <dataValidation type="decimal" operator="lessThanOrEqual" allowBlank="1" showInputMessage="1" showErrorMessage="1" sqref="Z36">
      <formula1>L15</formula1>
    </dataValidation>
    <dataValidation type="decimal" allowBlank="1" showInputMessage="1" showErrorMessage="1" errorTitle="Erreur" error="La valeur dépasse la surface encodée dans les caractéristiques physiques du bâtiment, surface au sol du rez_x000a_Ou_x000a_Encodez un nombre décimal supérieur à 0" sqref="S36">
      <formula1>0</formula1>
      <formula2>L15</formula2>
    </dataValidation>
    <dataValidation type="decimal" allowBlank="1" showInputMessage="1" showErrorMessage="1" errorTitle="Erreur" error="La valeur dépasse la surface encodée dans les caractéristiques physiques du bâtiment, surface(s) étage(s)_x000a_Ou_x000a_Encodez un nombre décimal supérieur à 0" sqref="S37">
      <formula1>0</formula1>
      <formula2>L19+L21+L23</formula2>
    </dataValidation>
    <dataValidation type="decimal" allowBlank="1" showInputMessage="1" showErrorMessage="1" errorTitle="Erreur" error="La valeur dépasse la surface encodée dans les caractéristiques physiques du bâtiment, surface toiture_x000a_Ou_x000a_Encodez un nombre décimal supérieur à 0" sqref="S39">
      <formula1>0</formula1>
      <formula2>M15</formula2>
    </dataValidation>
    <dataValidation type="decimal" allowBlank="1" showInputMessage="1" showErrorMessage="1" errorTitle="Erreur" error="La valeur dépasse le périmètre encodée dans les caractéristiques physiques du site, périmètre du site_x000a_Ou_x000a_Encodez un nombre décimal supérieur à 0" sqref="S305:S311">
      <formula1>0</formula1>
      <formula2>$L$255</formula2>
    </dataValidation>
    <dataValidation type="decimal" allowBlank="1" showInputMessage="1" showErrorMessage="1" errorTitle="Erreur" error="La valeur dépasse la surface encodée dans les caractéristiques physiques du site, surface zones parking &amp; entreposage privées_x000a_Ou_x000a_Encodez un nombre décimal supérieur à 0" sqref="S291:S298">
      <formula1>0</formula1>
      <formula2>$M$249</formula2>
    </dataValidation>
    <dataValidation type="decimal" allowBlank="1" showInputMessage="1" showErrorMessage="1" errorTitle="Erreur" error="La valeur dépasse la surface encodée dans les caractéristiques physiques du site, surface sentiers/trotoires piétons_x000a_Ou_x000a_Encodez un nombre décimal supérieur à 0" sqref="S281:S287">
      <formula1>0</formula1>
      <formula2>$J$257</formula2>
    </dataValidation>
    <dataValidation type="decimal" allowBlank="1" showInputMessage="1" showErrorMessage="1" errorTitle="Erreur" error="La valeur dépasse la surface encodée dans les caractéristiques physiques du site, surface voiries lentes_x000a_Ou_x000a_Encodez un nombre décimal supérieur à 0" sqref="S274:S280">
      <formula1>0</formula1>
      <formula2>$J$253</formula2>
    </dataValidation>
    <dataValidation type="decimal" allowBlank="1" showInputMessage="1" showErrorMessage="1" errorTitle="Erreur" error="La valeur dépasse la surface encodée dans les caractéristiques physiques du site, surface voiries automobiles_x000a_Ou_x000a_Encodez un nombre décimal supérieur à 0" sqref="S269:S272">
      <formula1>0</formula1>
      <formula2>$J$249</formula2>
    </dataValidation>
    <dataValidation type="decimal" allowBlank="1" showInputMessage="1" showErrorMessage="1" errorTitle="Erreur" error="La valeur dépasse le périmètre encodée dans les caractéristiques physiques du site, périmètre de la parcelle_x000a_Ou_x000a_Encodez un nombre décimal supérieur à 0" sqref="S212:S218">
      <formula1>0</formula1>
      <formula2>$L$164</formula2>
    </dataValidation>
    <dataValidation type="decimal" allowBlank="1" showInputMessage="1" showErrorMessage="1" errorTitle="Erreur" error="La valeur dépasse la surface encodée dans les caractéristiques physiques du site, surface zones parking &amp; entreposage privées_x000a_Ou_x000a_Encodez un nombre décimal supérieur à 0" sqref="S198:S205">
      <formula1>0</formula1>
      <formula2>$M$152</formula2>
    </dataValidation>
    <dataValidation type="decimal" allowBlank="1" showInputMessage="1" showErrorMessage="1" errorTitle="Erreur" error="La valeur dépasse la surface encodée dans les caractéristiques physiques du site, surface sentiers piétons_x000a_Ou_x000a_Encodez un nombre décimal supérieur à 0" sqref="S188:S194">
      <formula1>0</formula1>
      <formula2>$J$162</formula2>
    </dataValidation>
    <dataValidation type="decimal" allowBlank="1" showInputMessage="1" showErrorMessage="1" errorTitle="Erreur" error="La valeur dépasse la surface encodée dans les caractéristiques physiques du site, surface voiries lentes_x000a_Ou_x000a_Encodez un nombre décimal supérieur à 0" sqref="S181:S187">
      <formula1>0</formula1>
      <formula2>$J$158</formula2>
    </dataValidation>
    <dataValidation type="decimal" allowBlank="1" showInputMessage="1" showErrorMessage="1" errorTitle="Erreur" error="La valeur dépasse la surface encodée dans les caractéristiques physiques du site, surface voiries automobiles_x000a_Ou_x000a_Encodez un nombre décimal supérieur à 0" sqref="S176:S179">
      <formula1>0</formula1>
      <formula2>$J$154</formula2>
    </dataValidation>
    <dataValidation type="decimal" allowBlank="1" showInputMessage="1" showErrorMessage="1" errorTitle="Erreur" error="La valeur dépasse la surface encodée dans les caractéristiques physiques du bâtiment, surfaces baies_x000a_Ou_x000a_Encodez un nombre décimal supérieur à 0" sqref="S60:S61 S94:S95">
      <formula1>0</formula1>
      <formula2>$M$19</formula2>
    </dataValidation>
    <dataValidation type="decimal" allowBlank="1" showInputMessage="1" showErrorMessage="1" errorTitle="Erreur" error="La valeur dépasse la surface encodée dans les caractéristiques physiques du bâtiment, surfaces façades_x000a_Ou_x000a_Encodez un nombre décimal supérieur à 0" sqref="S51:S55 S86:S89 S110:S112">
      <formula1>0</formula1>
      <formula2>$M$17-$M$19</formula2>
    </dataValidation>
    <dataValidation type="decimal" allowBlank="1" showInputMessage="1" showErrorMessage="1" errorTitle="Erreur" error="La valeur dépasse la surface encodée dans les caractéristiques physiques du bâtiment, surface toiture_x000a_Ou_x000a_Encodez un nombre décimal supérieur à 0" sqref="S56:S59 S90:S93 S113:S116">
      <formula1>0</formula1>
      <formula2>$M$15</formula2>
    </dataValidation>
    <dataValidation type="list" allowBlank="1" showInputMessage="1" showErrorMessage="1" sqref="R137">
      <formula1>$BD$35:$BD$38</formula1>
    </dataValidation>
    <dataValidation type="list" allowBlank="1" showInputMessage="1" showErrorMessage="1" sqref="R135">
      <formula1>$AO$35:$AO$37</formula1>
    </dataValidation>
    <dataValidation type="list" allowBlank="1" showInputMessage="1" showErrorMessage="1" sqref="X137:AA137">
      <formula1>$AT$17:$AT$24</formula1>
    </dataValidation>
    <dataValidation type="list" allowBlank="1" showInputMessage="1" showErrorMessage="1" sqref="X138:AA138">
      <formula1>$AX$17:$AX$33</formula1>
    </dataValidation>
    <dataValidation type="list" allowBlank="1" showInputMessage="1" showErrorMessage="1" sqref="X139:AA139">
      <formula1>$AZ$17:$AZ$21</formula1>
    </dataValidation>
    <dataValidation type="list" allowBlank="1" showInputMessage="1" showErrorMessage="1" sqref="X135:AA135">
      <formula1>$AO$17:$AO$21</formula1>
    </dataValidation>
    <dataValidation type="list" allowBlank="1" showInputMessage="1" showErrorMessage="1" sqref="X136:AA136">
      <formula1>$AO$22:$AO$26</formula1>
    </dataValidation>
    <dataValidation type="list" allowBlank="1" showInputMessage="1" showErrorMessage="1" sqref="R67:R72 R102:R105 R78:R81 R43:R45 R125:R128">
      <formula1>QuestionnairePourcentage</formula1>
    </dataValidation>
    <dataValidation type="list" allowBlank="1" showInputMessage="1" showErrorMessage="1" sqref="R323:R326 R230:R233">
      <formula1>$AS$35:$AS$40</formula1>
    </dataValidation>
    <dataValidation type="list" allowBlank="1" showInputMessage="1" showErrorMessage="1" sqref="R304 R123:R124 R211 R223 R316">
      <formula1>QuestionnaireB.1.5</formula1>
    </dataValidation>
    <dataValidation type="list" allowBlank="1" showInputMessage="1" showErrorMessage="1" sqref="R291:R298 R305:R311 R66 R269:R287 R35:R39 R46:R47 R82:R83 R317:R319 R86:R98 R129:R131 R327:R328 R51:R62 R176:R194 R198:R205 R224:R226 R234:R235 R212:R218 R108:R118">
      <formula1>QuestionnairebaseNiv01</formula1>
    </dataValidation>
  </dataValidations>
  <printOptions horizontalCentered="1" verticalCentered="1"/>
  <pageMargins left="0.51181102362204722" right="0.51181102362204722" top="0.55118110236220474" bottom="0.55118110236220474" header="0.31496062992125984" footer="0.31496062992125984"/>
  <pageSetup paperSize="8" scale="47" orientation="landscape"/>
  <rowBreaks count="7" manualBreakCount="7">
    <brk id="74" max="27" man="1"/>
    <brk id="120" max="27" man="1"/>
    <brk id="143" max="27" man="1"/>
    <brk id="207" max="27" man="1"/>
    <brk id="238" max="27" man="1"/>
    <brk id="301" max="27" man="1"/>
    <brk id="432" max="27" man="1"/>
  </rowBreaks>
  <drawing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enableFormatConditionsCalculation="0"/>
  <dimension ref="D2:AF45"/>
  <sheetViews>
    <sheetView zoomScale="70" zoomScaleNormal="70" zoomScalePageLayoutView="70" workbookViewId="0"/>
  </sheetViews>
  <sheetFormatPr defaultColWidth="9.140625" defaultRowHeight="15"/>
  <cols>
    <col min="1" max="4" width="9.7109375" customWidth="1"/>
    <col min="5" max="8" width="13.7109375" customWidth="1"/>
    <col min="9" max="11" width="11.85546875" customWidth="1"/>
    <col min="13" max="15" width="9.140625" customWidth="1"/>
    <col min="17" max="19" width="9.140625" customWidth="1"/>
    <col min="257" max="260" width="9.7109375" customWidth="1"/>
    <col min="261" max="264" width="13.7109375" customWidth="1"/>
    <col min="265" max="267" width="11.85546875" customWidth="1"/>
    <col min="513" max="516" width="9.7109375" customWidth="1"/>
    <col min="517" max="520" width="13.7109375" customWidth="1"/>
    <col min="521" max="523" width="11.85546875" customWidth="1"/>
    <col min="769" max="772" width="9.7109375" customWidth="1"/>
    <col min="773" max="776" width="13.7109375" customWidth="1"/>
    <col min="777" max="779" width="11.85546875" customWidth="1"/>
    <col min="1025" max="1028" width="9.7109375" customWidth="1"/>
    <col min="1029" max="1032" width="13.7109375" customWidth="1"/>
    <col min="1033" max="1035" width="11.85546875" customWidth="1"/>
    <col min="1281" max="1284" width="9.7109375" customWidth="1"/>
    <col min="1285" max="1288" width="13.7109375" customWidth="1"/>
    <col min="1289" max="1291" width="11.85546875" customWidth="1"/>
    <col min="1537" max="1540" width="9.7109375" customWidth="1"/>
    <col min="1541" max="1544" width="13.7109375" customWidth="1"/>
    <col min="1545" max="1547" width="11.85546875" customWidth="1"/>
    <col min="1793" max="1796" width="9.7109375" customWidth="1"/>
    <col min="1797" max="1800" width="13.7109375" customWidth="1"/>
    <col min="1801" max="1803" width="11.85546875" customWidth="1"/>
    <col min="2049" max="2052" width="9.7109375" customWidth="1"/>
    <col min="2053" max="2056" width="13.7109375" customWidth="1"/>
    <col min="2057" max="2059" width="11.85546875" customWidth="1"/>
    <col min="2305" max="2308" width="9.7109375" customWidth="1"/>
    <col min="2309" max="2312" width="13.7109375" customWidth="1"/>
    <col min="2313" max="2315" width="11.85546875" customWidth="1"/>
    <col min="2561" max="2564" width="9.7109375" customWidth="1"/>
    <col min="2565" max="2568" width="13.7109375" customWidth="1"/>
    <col min="2569" max="2571" width="11.85546875" customWidth="1"/>
    <col min="2817" max="2820" width="9.7109375" customWidth="1"/>
    <col min="2821" max="2824" width="13.7109375" customWidth="1"/>
    <col min="2825" max="2827" width="11.85546875" customWidth="1"/>
    <col min="3073" max="3076" width="9.7109375" customWidth="1"/>
    <col min="3077" max="3080" width="13.7109375" customWidth="1"/>
    <col min="3081" max="3083" width="11.85546875" customWidth="1"/>
    <col min="3329" max="3332" width="9.7109375" customWidth="1"/>
    <col min="3333" max="3336" width="13.7109375" customWidth="1"/>
    <col min="3337" max="3339" width="11.85546875" customWidth="1"/>
    <col min="3585" max="3588" width="9.7109375" customWidth="1"/>
    <col min="3589" max="3592" width="13.7109375" customWidth="1"/>
    <col min="3593" max="3595" width="11.85546875" customWidth="1"/>
    <col min="3841" max="3844" width="9.7109375" customWidth="1"/>
    <col min="3845" max="3848" width="13.7109375" customWidth="1"/>
    <col min="3849" max="3851" width="11.85546875" customWidth="1"/>
    <col min="4097" max="4100" width="9.7109375" customWidth="1"/>
    <col min="4101" max="4104" width="13.7109375" customWidth="1"/>
    <col min="4105" max="4107" width="11.85546875" customWidth="1"/>
    <col min="4353" max="4356" width="9.7109375" customWidth="1"/>
    <col min="4357" max="4360" width="13.7109375" customWidth="1"/>
    <col min="4361" max="4363" width="11.85546875" customWidth="1"/>
    <col min="4609" max="4612" width="9.7109375" customWidth="1"/>
    <col min="4613" max="4616" width="13.7109375" customWidth="1"/>
    <col min="4617" max="4619" width="11.85546875" customWidth="1"/>
    <col min="4865" max="4868" width="9.7109375" customWidth="1"/>
    <col min="4869" max="4872" width="13.7109375" customWidth="1"/>
    <col min="4873" max="4875" width="11.85546875" customWidth="1"/>
    <col min="5121" max="5124" width="9.7109375" customWidth="1"/>
    <col min="5125" max="5128" width="13.7109375" customWidth="1"/>
    <col min="5129" max="5131" width="11.85546875" customWidth="1"/>
    <col min="5377" max="5380" width="9.7109375" customWidth="1"/>
    <col min="5381" max="5384" width="13.7109375" customWidth="1"/>
    <col min="5385" max="5387" width="11.85546875" customWidth="1"/>
    <col min="5633" max="5636" width="9.7109375" customWidth="1"/>
    <col min="5637" max="5640" width="13.7109375" customWidth="1"/>
    <col min="5641" max="5643" width="11.85546875" customWidth="1"/>
    <col min="5889" max="5892" width="9.7109375" customWidth="1"/>
    <col min="5893" max="5896" width="13.7109375" customWidth="1"/>
    <col min="5897" max="5899" width="11.85546875" customWidth="1"/>
    <col min="6145" max="6148" width="9.7109375" customWidth="1"/>
    <col min="6149" max="6152" width="13.7109375" customWidth="1"/>
    <col min="6153" max="6155" width="11.85546875" customWidth="1"/>
    <col min="6401" max="6404" width="9.7109375" customWidth="1"/>
    <col min="6405" max="6408" width="13.7109375" customWidth="1"/>
    <col min="6409" max="6411" width="11.85546875" customWidth="1"/>
    <col min="6657" max="6660" width="9.7109375" customWidth="1"/>
    <col min="6661" max="6664" width="13.7109375" customWidth="1"/>
    <col min="6665" max="6667" width="11.85546875" customWidth="1"/>
    <col min="6913" max="6916" width="9.7109375" customWidth="1"/>
    <col min="6917" max="6920" width="13.7109375" customWidth="1"/>
    <col min="6921" max="6923" width="11.85546875" customWidth="1"/>
    <col min="7169" max="7172" width="9.7109375" customWidth="1"/>
    <col min="7173" max="7176" width="13.7109375" customWidth="1"/>
    <col min="7177" max="7179" width="11.85546875" customWidth="1"/>
    <col min="7425" max="7428" width="9.7109375" customWidth="1"/>
    <col min="7429" max="7432" width="13.7109375" customWidth="1"/>
    <col min="7433" max="7435" width="11.85546875" customWidth="1"/>
    <col min="7681" max="7684" width="9.7109375" customWidth="1"/>
    <col min="7685" max="7688" width="13.7109375" customWidth="1"/>
    <col min="7689" max="7691" width="11.85546875" customWidth="1"/>
    <col min="7937" max="7940" width="9.7109375" customWidth="1"/>
    <col min="7941" max="7944" width="13.7109375" customWidth="1"/>
    <col min="7945" max="7947" width="11.85546875" customWidth="1"/>
    <col min="8193" max="8196" width="9.7109375" customWidth="1"/>
    <col min="8197" max="8200" width="13.7109375" customWidth="1"/>
    <col min="8201" max="8203" width="11.85546875" customWidth="1"/>
    <col min="8449" max="8452" width="9.7109375" customWidth="1"/>
    <col min="8453" max="8456" width="13.7109375" customWidth="1"/>
    <col min="8457" max="8459" width="11.85546875" customWidth="1"/>
    <col min="8705" max="8708" width="9.7109375" customWidth="1"/>
    <col min="8709" max="8712" width="13.7109375" customWidth="1"/>
    <col min="8713" max="8715" width="11.85546875" customWidth="1"/>
    <col min="8961" max="8964" width="9.7109375" customWidth="1"/>
    <col min="8965" max="8968" width="13.7109375" customWidth="1"/>
    <col min="8969" max="8971" width="11.85546875" customWidth="1"/>
    <col min="9217" max="9220" width="9.7109375" customWidth="1"/>
    <col min="9221" max="9224" width="13.7109375" customWidth="1"/>
    <col min="9225" max="9227" width="11.85546875" customWidth="1"/>
    <col min="9473" max="9476" width="9.7109375" customWidth="1"/>
    <col min="9477" max="9480" width="13.7109375" customWidth="1"/>
    <col min="9481" max="9483" width="11.85546875" customWidth="1"/>
    <col min="9729" max="9732" width="9.7109375" customWidth="1"/>
    <col min="9733" max="9736" width="13.7109375" customWidth="1"/>
    <col min="9737" max="9739" width="11.85546875" customWidth="1"/>
    <col min="9985" max="9988" width="9.7109375" customWidth="1"/>
    <col min="9989" max="9992" width="13.7109375" customWidth="1"/>
    <col min="9993" max="9995" width="11.85546875" customWidth="1"/>
    <col min="10241" max="10244" width="9.7109375" customWidth="1"/>
    <col min="10245" max="10248" width="13.7109375" customWidth="1"/>
    <col min="10249" max="10251" width="11.85546875" customWidth="1"/>
    <col min="10497" max="10500" width="9.7109375" customWidth="1"/>
    <col min="10501" max="10504" width="13.7109375" customWidth="1"/>
    <col min="10505" max="10507" width="11.85546875" customWidth="1"/>
    <col min="10753" max="10756" width="9.7109375" customWidth="1"/>
    <col min="10757" max="10760" width="13.7109375" customWidth="1"/>
    <col min="10761" max="10763" width="11.85546875" customWidth="1"/>
    <col min="11009" max="11012" width="9.7109375" customWidth="1"/>
    <col min="11013" max="11016" width="13.7109375" customWidth="1"/>
    <col min="11017" max="11019" width="11.85546875" customWidth="1"/>
    <col min="11265" max="11268" width="9.7109375" customWidth="1"/>
    <col min="11269" max="11272" width="13.7109375" customWidth="1"/>
    <col min="11273" max="11275" width="11.85546875" customWidth="1"/>
    <col min="11521" max="11524" width="9.7109375" customWidth="1"/>
    <col min="11525" max="11528" width="13.7109375" customWidth="1"/>
    <col min="11529" max="11531" width="11.85546875" customWidth="1"/>
    <col min="11777" max="11780" width="9.7109375" customWidth="1"/>
    <col min="11781" max="11784" width="13.7109375" customWidth="1"/>
    <col min="11785" max="11787" width="11.85546875" customWidth="1"/>
    <col min="12033" max="12036" width="9.7109375" customWidth="1"/>
    <col min="12037" max="12040" width="13.7109375" customWidth="1"/>
    <col min="12041" max="12043" width="11.85546875" customWidth="1"/>
    <col min="12289" max="12292" width="9.7109375" customWidth="1"/>
    <col min="12293" max="12296" width="13.7109375" customWidth="1"/>
    <col min="12297" max="12299" width="11.85546875" customWidth="1"/>
    <col min="12545" max="12548" width="9.7109375" customWidth="1"/>
    <col min="12549" max="12552" width="13.7109375" customWidth="1"/>
    <col min="12553" max="12555" width="11.85546875" customWidth="1"/>
    <col min="12801" max="12804" width="9.7109375" customWidth="1"/>
    <col min="12805" max="12808" width="13.7109375" customWidth="1"/>
    <col min="12809" max="12811" width="11.85546875" customWidth="1"/>
    <col min="13057" max="13060" width="9.7109375" customWidth="1"/>
    <col min="13061" max="13064" width="13.7109375" customWidth="1"/>
    <col min="13065" max="13067" width="11.85546875" customWidth="1"/>
    <col min="13313" max="13316" width="9.7109375" customWidth="1"/>
    <col min="13317" max="13320" width="13.7109375" customWidth="1"/>
    <col min="13321" max="13323" width="11.85546875" customWidth="1"/>
    <col min="13569" max="13572" width="9.7109375" customWidth="1"/>
    <col min="13573" max="13576" width="13.7109375" customWidth="1"/>
    <col min="13577" max="13579" width="11.85546875" customWidth="1"/>
    <col min="13825" max="13828" width="9.7109375" customWidth="1"/>
    <col min="13829" max="13832" width="13.7109375" customWidth="1"/>
    <col min="13833" max="13835" width="11.85546875" customWidth="1"/>
    <col min="14081" max="14084" width="9.7109375" customWidth="1"/>
    <col min="14085" max="14088" width="13.7109375" customWidth="1"/>
    <col min="14089" max="14091" width="11.85546875" customWidth="1"/>
    <col min="14337" max="14340" width="9.7109375" customWidth="1"/>
    <col min="14341" max="14344" width="13.7109375" customWidth="1"/>
    <col min="14345" max="14347" width="11.85546875" customWidth="1"/>
    <col min="14593" max="14596" width="9.7109375" customWidth="1"/>
    <col min="14597" max="14600" width="13.7109375" customWidth="1"/>
    <col min="14601" max="14603" width="11.85546875" customWidth="1"/>
    <col min="14849" max="14852" width="9.7109375" customWidth="1"/>
    <col min="14853" max="14856" width="13.7109375" customWidth="1"/>
    <col min="14857" max="14859" width="11.85546875" customWidth="1"/>
    <col min="15105" max="15108" width="9.7109375" customWidth="1"/>
    <col min="15109" max="15112" width="13.7109375" customWidth="1"/>
    <col min="15113" max="15115" width="11.85546875" customWidth="1"/>
    <col min="15361" max="15364" width="9.7109375" customWidth="1"/>
    <col min="15365" max="15368" width="13.7109375" customWidth="1"/>
    <col min="15369" max="15371" width="11.85546875" customWidth="1"/>
    <col min="15617" max="15620" width="9.7109375" customWidth="1"/>
    <col min="15621" max="15624" width="13.7109375" customWidth="1"/>
    <col min="15625" max="15627" width="11.85546875" customWidth="1"/>
    <col min="15873" max="15876" width="9.7109375" customWidth="1"/>
    <col min="15877" max="15880" width="13.7109375" customWidth="1"/>
    <col min="15881" max="15883" width="11.85546875" customWidth="1"/>
    <col min="16129" max="16132" width="9.7109375" customWidth="1"/>
    <col min="16133" max="16136" width="13.7109375" customWidth="1"/>
    <col min="16137" max="16139" width="11.85546875" customWidth="1"/>
  </cols>
  <sheetData>
    <row r="2" spans="4:32" ht="15.75" thickBot="1">
      <c r="E2" s="761"/>
      <c r="F2" s="761"/>
      <c r="G2" s="761"/>
      <c r="H2" s="761"/>
      <c r="I2" s="761"/>
      <c r="J2" s="761"/>
      <c r="K2" s="761"/>
      <c r="Z2" s="761"/>
      <c r="AA2" s="761"/>
      <c r="AB2" s="761"/>
      <c r="AC2" s="761"/>
      <c r="AD2" s="761"/>
      <c r="AE2" s="761"/>
      <c r="AF2" s="761"/>
    </row>
    <row r="3" spans="4:32" ht="15.75" thickBot="1">
      <c r="E3" s="776" t="s">
        <v>862</v>
      </c>
      <c r="F3" s="777"/>
      <c r="G3" s="776"/>
      <c r="H3" s="775" t="s">
        <v>860</v>
      </c>
      <c r="I3" s="775" t="s">
        <v>859</v>
      </c>
      <c r="J3" s="775" t="s">
        <v>858</v>
      </c>
      <c r="K3" s="775" t="s">
        <v>861</v>
      </c>
      <c r="L3" s="775" t="s">
        <v>391</v>
      </c>
      <c r="M3" s="775" t="s">
        <v>860</v>
      </c>
      <c r="N3" s="775" t="s">
        <v>859</v>
      </c>
      <c r="O3" s="775" t="s">
        <v>858</v>
      </c>
      <c r="Z3" s="761"/>
      <c r="AA3" s="761"/>
      <c r="AB3" s="761"/>
      <c r="AC3" s="761"/>
      <c r="AD3" s="761"/>
      <c r="AE3" s="761"/>
      <c r="AF3" s="761"/>
    </row>
    <row r="4" spans="4:32" ht="16.5" thickBot="1">
      <c r="D4">
        <v>1</v>
      </c>
      <c r="E4" s="761" t="s">
        <v>857</v>
      </c>
      <c r="F4" s="761"/>
      <c r="G4" s="761"/>
      <c r="H4" s="772">
        <v>261</v>
      </c>
      <c r="I4" s="771">
        <v>13.16</v>
      </c>
      <c r="J4" s="771">
        <v>8.3600000000000008E-2</v>
      </c>
      <c r="K4" s="770">
        <f t="shared" ref="K4:K16" si="0">(M4*0.25)+(N4*0.5)+(O4*0.25)</f>
        <v>1</v>
      </c>
      <c r="L4" s="769">
        <f t="shared" ref="L4:L16" si="1">IF(K4&lt;$Q$12,4,IF(K4&lt;$Q$13,3,IF(K4&lt;$Q$14,2,1)))</f>
        <v>4</v>
      </c>
      <c r="M4" s="337">
        <f t="shared" ref="M4:M16" si="2">VLOOKUP($E4,$E$19:$I$31,5,FALSE)</f>
        <v>1</v>
      </c>
      <c r="N4" s="337">
        <f t="shared" ref="N4:N16" si="3">VLOOKUP($E4,$K$19:$P$31,6,FALSE)</f>
        <v>1</v>
      </c>
      <c r="O4" s="337">
        <f t="shared" ref="O4:O16" si="4">VLOOKUP($E4,$R$19:$W$31,6,FALSE)</f>
        <v>1</v>
      </c>
      <c r="Z4" s="761"/>
      <c r="AA4" s="761"/>
      <c r="AB4" s="761"/>
      <c r="AC4" s="761"/>
      <c r="AD4" s="761"/>
      <c r="AE4" s="761"/>
      <c r="AF4" s="761"/>
    </row>
    <row r="5" spans="4:32" ht="16.5" thickBot="1">
      <c r="D5">
        <v>2</v>
      </c>
      <c r="E5" s="761" t="s">
        <v>856</v>
      </c>
      <c r="F5" s="761"/>
      <c r="G5" s="761"/>
      <c r="H5" s="772">
        <v>285</v>
      </c>
      <c r="I5" s="771">
        <v>14.98</v>
      </c>
      <c r="J5" s="771">
        <v>9.820000000000001E-2</v>
      </c>
      <c r="K5" s="770">
        <f t="shared" si="0"/>
        <v>2</v>
      </c>
      <c r="L5" s="769">
        <f t="shared" si="1"/>
        <v>4</v>
      </c>
      <c r="M5" s="337">
        <f t="shared" si="2"/>
        <v>2</v>
      </c>
      <c r="N5" s="337">
        <f t="shared" si="3"/>
        <v>2</v>
      </c>
      <c r="O5" s="337">
        <f t="shared" si="4"/>
        <v>2</v>
      </c>
      <c r="Z5" s="761"/>
      <c r="AA5" s="761"/>
      <c r="AB5" s="761"/>
      <c r="AC5" s="761"/>
      <c r="AD5" s="761"/>
      <c r="AE5" s="761"/>
      <c r="AF5" s="761"/>
    </row>
    <row r="6" spans="4:32" ht="16.5" thickBot="1">
      <c r="D6">
        <v>3</v>
      </c>
      <c r="E6" s="761" t="s">
        <v>855</v>
      </c>
      <c r="F6" s="761"/>
      <c r="G6" s="761"/>
      <c r="H6" s="772">
        <v>366</v>
      </c>
      <c r="I6" s="771">
        <v>18.260000000000002</v>
      </c>
      <c r="J6" s="771">
        <v>0.125</v>
      </c>
      <c r="K6" s="770">
        <f t="shared" si="0"/>
        <v>3</v>
      </c>
      <c r="L6" s="769">
        <f t="shared" si="1"/>
        <v>4</v>
      </c>
      <c r="M6" s="337">
        <f t="shared" si="2"/>
        <v>3</v>
      </c>
      <c r="N6" s="337">
        <f t="shared" si="3"/>
        <v>3</v>
      </c>
      <c r="O6" s="337">
        <f t="shared" si="4"/>
        <v>3</v>
      </c>
      <c r="Z6" s="761"/>
      <c r="AA6" s="761"/>
      <c r="AB6" s="761"/>
      <c r="AC6" s="761"/>
      <c r="AD6" s="761"/>
      <c r="AE6" s="761"/>
      <c r="AF6" s="761"/>
    </row>
    <row r="7" spans="4:32" ht="16.5" thickBot="1">
      <c r="D7">
        <v>4</v>
      </c>
      <c r="E7" s="761" t="s">
        <v>854</v>
      </c>
      <c r="F7" s="761"/>
      <c r="G7" s="761"/>
      <c r="H7" s="772">
        <v>390</v>
      </c>
      <c r="I7" s="771">
        <v>20.080000000000002</v>
      </c>
      <c r="J7" s="771">
        <v>0.1396</v>
      </c>
      <c r="K7" s="770">
        <f t="shared" si="0"/>
        <v>4</v>
      </c>
      <c r="L7" s="769">
        <f t="shared" si="1"/>
        <v>3</v>
      </c>
      <c r="M7" s="337">
        <f t="shared" si="2"/>
        <v>4</v>
      </c>
      <c r="N7" s="337">
        <f t="shared" si="3"/>
        <v>4</v>
      </c>
      <c r="O7" s="337">
        <f t="shared" si="4"/>
        <v>4</v>
      </c>
      <c r="Q7" s="774">
        <f>MIN(K4:K16)</f>
        <v>1</v>
      </c>
      <c r="R7" s="773"/>
      <c r="S7" s="773"/>
      <c r="Z7" s="761"/>
      <c r="AA7" s="761"/>
      <c r="AB7" s="761"/>
      <c r="AC7" s="761"/>
      <c r="AD7" s="761"/>
      <c r="AE7" s="761"/>
      <c r="AF7" s="761"/>
    </row>
    <row r="8" spans="4:32" ht="16.5" thickBot="1">
      <c r="D8">
        <v>5</v>
      </c>
      <c r="E8" s="761" t="s">
        <v>853</v>
      </c>
      <c r="F8" s="761"/>
      <c r="G8" s="761"/>
      <c r="H8" s="772">
        <v>615</v>
      </c>
      <c r="I8" s="771">
        <v>48.099999999999994</v>
      </c>
      <c r="J8" s="771">
        <v>0.2072</v>
      </c>
      <c r="K8" s="770">
        <f t="shared" si="0"/>
        <v>5</v>
      </c>
      <c r="L8" s="769">
        <f t="shared" si="1"/>
        <v>3</v>
      </c>
      <c r="M8" s="337">
        <f t="shared" si="2"/>
        <v>5</v>
      </c>
      <c r="N8" s="337">
        <f t="shared" si="3"/>
        <v>5</v>
      </c>
      <c r="O8" s="337">
        <f t="shared" si="4"/>
        <v>5</v>
      </c>
      <c r="Q8" s="774">
        <f>MAX(K4:K16)</f>
        <v>12.75</v>
      </c>
      <c r="R8" s="773"/>
      <c r="S8" s="773"/>
      <c r="Z8" s="761"/>
      <c r="AA8" s="761"/>
      <c r="AB8" s="761"/>
      <c r="AC8" s="761"/>
      <c r="AD8" s="761"/>
      <c r="AE8" s="761"/>
      <c r="AF8" s="761"/>
    </row>
    <row r="9" spans="4:32" ht="16.5" thickBot="1">
      <c r="D9">
        <v>6</v>
      </c>
      <c r="E9" s="761" t="s">
        <v>852</v>
      </c>
      <c r="F9" s="761"/>
      <c r="G9" s="761"/>
      <c r="H9" s="772">
        <v>740</v>
      </c>
      <c r="I9" s="771">
        <v>53.2</v>
      </c>
      <c r="J9" s="771">
        <v>0.24860000000000002</v>
      </c>
      <c r="K9" s="770">
        <f t="shared" si="0"/>
        <v>6</v>
      </c>
      <c r="L9" s="769">
        <f t="shared" si="1"/>
        <v>3</v>
      </c>
      <c r="M9" s="337">
        <f t="shared" si="2"/>
        <v>6</v>
      </c>
      <c r="N9" s="337">
        <f t="shared" si="3"/>
        <v>6</v>
      </c>
      <c r="O9" s="337">
        <f t="shared" si="4"/>
        <v>6</v>
      </c>
      <c r="Q9" s="774">
        <f>Q8-Q7</f>
        <v>11.75</v>
      </c>
      <c r="R9" s="773"/>
      <c r="S9" s="773"/>
      <c r="Z9" s="761"/>
      <c r="AA9" s="761"/>
      <c r="AB9" s="761"/>
      <c r="AC9" s="761"/>
      <c r="AD9" s="761"/>
      <c r="AE9" s="761"/>
      <c r="AF9" s="761"/>
    </row>
    <row r="10" spans="4:32" ht="16.5" thickBot="1">
      <c r="D10">
        <v>7</v>
      </c>
      <c r="E10" s="761" t="s">
        <v>851</v>
      </c>
      <c r="F10" s="761"/>
      <c r="G10" s="761"/>
      <c r="H10" s="772">
        <v>635</v>
      </c>
      <c r="I10" s="771">
        <v>53.2</v>
      </c>
      <c r="J10" s="771">
        <v>0.24860000000000002</v>
      </c>
      <c r="K10" s="770">
        <f t="shared" si="0"/>
        <v>7.25</v>
      </c>
      <c r="L10" s="769">
        <f t="shared" si="1"/>
        <v>2</v>
      </c>
      <c r="M10" s="337">
        <f t="shared" si="2"/>
        <v>8</v>
      </c>
      <c r="N10" s="337">
        <f t="shared" si="3"/>
        <v>7</v>
      </c>
      <c r="O10" s="337">
        <f t="shared" si="4"/>
        <v>7</v>
      </c>
      <c r="Q10" s="774">
        <f>Q9/4</f>
        <v>2.9375</v>
      </c>
      <c r="R10" s="773"/>
      <c r="S10" s="773"/>
      <c r="Z10" s="761"/>
      <c r="AA10" s="761"/>
      <c r="AB10" s="761"/>
      <c r="AC10" s="761"/>
      <c r="AD10" s="761"/>
      <c r="AE10" s="761"/>
      <c r="AF10" s="761"/>
    </row>
    <row r="11" spans="4:32" ht="16.5" thickBot="1">
      <c r="D11">
        <v>8</v>
      </c>
      <c r="E11" s="761" t="s">
        <v>850</v>
      </c>
      <c r="F11" s="761"/>
      <c r="G11" s="761"/>
      <c r="H11" s="772">
        <v>720</v>
      </c>
      <c r="I11" s="771">
        <v>53.2</v>
      </c>
      <c r="J11" s="771">
        <v>0.24860000000000002</v>
      </c>
      <c r="K11" s="770">
        <f t="shared" si="0"/>
        <v>7.75</v>
      </c>
      <c r="L11" s="769">
        <f t="shared" si="1"/>
        <v>2</v>
      </c>
      <c r="M11" s="337">
        <f t="shared" si="2"/>
        <v>7</v>
      </c>
      <c r="N11" s="337">
        <f t="shared" si="3"/>
        <v>8</v>
      </c>
      <c r="O11" s="337">
        <f t="shared" si="4"/>
        <v>8</v>
      </c>
      <c r="Q11" s="774"/>
      <c r="R11" s="773"/>
      <c r="S11" s="773"/>
      <c r="Z11" s="761"/>
      <c r="AA11" s="761"/>
      <c r="AB11" s="761"/>
      <c r="AC11" s="761"/>
      <c r="AD11" s="761"/>
      <c r="AE11" s="761"/>
      <c r="AF11" s="761"/>
    </row>
    <row r="12" spans="4:32" ht="16.5" thickBot="1">
      <c r="D12">
        <v>9</v>
      </c>
      <c r="E12" s="761" t="s">
        <v>849</v>
      </c>
      <c r="F12" s="761"/>
      <c r="G12" s="761"/>
      <c r="H12" s="772">
        <v>1502</v>
      </c>
      <c r="I12" s="771">
        <v>129.46</v>
      </c>
      <c r="J12" s="771">
        <v>0.59799999999999998</v>
      </c>
      <c r="K12" s="770">
        <f t="shared" si="0"/>
        <v>9.25</v>
      </c>
      <c r="L12" s="769">
        <f t="shared" si="1"/>
        <v>2</v>
      </c>
      <c r="M12" s="337">
        <f t="shared" si="2"/>
        <v>9</v>
      </c>
      <c r="N12" s="337">
        <f t="shared" si="3"/>
        <v>9</v>
      </c>
      <c r="O12" s="337">
        <f t="shared" si="4"/>
        <v>10</v>
      </c>
      <c r="Q12" s="774">
        <f>Q7+Q10</f>
        <v>3.9375</v>
      </c>
      <c r="R12" s="773" t="s">
        <v>636</v>
      </c>
      <c r="S12" s="773"/>
    </row>
    <row r="13" spans="4:32" ht="16.5" thickBot="1">
      <c r="D13">
        <v>10</v>
      </c>
      <c r="E13" s="761" t="s">
        <v>848</v>
      </c>
      <c r="F13" s="761"/>
      <c r="G13" s="761"/>
      <c r="H13" s="772">
        <v>1526</v>
      </c>
      <c r="I13" s="771">
        <v>131.28</v>
      </c>
      <c r="J13" s="771">
        <v>0.61259999999999992</v>
      </c>
      <c r="K13" s="770">
        <f t="shared" si="0"/>
        <v>10.25</v>
      </c>
      <c r="L13" s="769">
        <f t="shared" si="1"/>
        <v>1</v>
      </c>
      <c r="M13" s="337">
        <f t="shared" si="2"/>
        <v>10</v>
      </c>
      <c r="N13" s="337">
        <f t="shared" si="3"/>
        <v>10</v>
      </c>
      <c r="O13" s="337">
        <f t="shared" si="4"/>
        <v>11</v>
      </c>
      <c r="Q13" s="774">
        <f>Q12+Q10</f>
        <v>6.875</v>
      </c>
      <c r="R13" s="773" t="s">
        <v>638</v>
      </c>
      <c r="S13" s="773"/>
    </row>
    <row r="14" spans="4:32" ht="16.5" thickBot="1">
      <c r="D14">
        <v>11</v>
      </c>
      <c r="E14" s="761" t="s">
        <v>847</v>
      </c>
      <c r="F14" s="761"/>
      <c r="G14" s="761"/>
      <c r="H14" s="772">
        <v>1810</v>
      </c>
      <c r="I14" s="771">
        <v>156.4</v>
      </c>
      <c r="J14" s="771">
        <v>0.59160000000000001</v>
      </c>
      <c r="K14" s="770">
        <f t="shared" si="0"/>
        <v>10.5</v>
      </c>
      <c r="L14" s="769">
        <f t="shared" si="1"/>
        <v>1</v>
      </c>
      <c r="M14" s="337">
        <f t="shared" si="2"/>
        <v>11</v>
      </c>
      <c r="N14" s="337">
        <f t="shared" si="3"/>
        <v>11</v>
      </c>
      <c r="O14" s="337">
        <f t="shared" si="4"/>
        <v>9</v>
      </c>
      <c r="Q14" s="774">
        <f>Q13+Q10</f>
        <v>9.8125</v>
      </c>
      <c r="R14" s="773" t="s">
        <v>639</v>
      </c>
      <c r="S14" s="773"/>
    </row>
    <row r="15" spans="4:32" ht="16.5" thickBot="1">
      <c r="D15">
        <v>12</v>
      </c>
      <c r="E15" s="761" t="s">
        <v>846</v>
      </c>
      <c r="F15" s="761"/>
      <c r="G15" s="761"/>
      <c r="H15" s="772">
        <v>1876</v>
      </c>
      <c r="I15" s="771">
        <v>164.4</v>
      </c>
      <c r="J15" s="771">
        <v>0.72160000000000002</v>
      </c>
      <c r="K15" s="770">
        <f t="shared" si="0"/>
        <v>12.25</v>
      </c>
      <c r="L15" s="769">
        <f t="shared" si="1"/>
        <v>1</v>
      </c>
      <c r="M15" s="337">
        <f t="shared" si="2"/>
        <v>13</v>
      </c>
      <c r="N15" s="337">
        <f t="shared" si="3"/>
        <v>12</v>
      </c>
      <c r="O15" s="337">
        <f t="shared" si="4"/>
        <v>12</v>
      </c>
      <c r="Q15" s="773"/>
      <c r="R15" s="773"/>
      <c r="S15" s="773"/>
    </row>
    <row r="16" spans="4:32" ht="16.5" thickBot="1">
      <c r="D16">
        <v>13</v>
      </c>
      <c r="E16" s="761" t="s">
        <v>845</v>
      </c>
      <c r="F16" s="761"/>
      <c r="G16" s="761"/>
      <c r="H16" s="772">
        <v>1856</v>
      </c>
      <c r="I16" s="771">
        <v>164.4</v>
      </c>
      <c r="J16" s="771">
        <v>0.72160000000000002</v>
      </c>
      <c r="K16" s="770">
        <f t="shared" si="0"/>
        <v>12.75</v>
      </c>
      <c r="L16" s="769">
        <f t="shared" si="1"/>
        <v>1</v>
      </c>
      <c r="M16" s="337">
        <f t="shared" si="2"/>
        <v>12</v>
      </c>
      <c r="N16" s="337">
        <f t="shared" si="3"/>
        <v>13</v>
      </c>
      <c r="O16" s="337">
        <f t="shared" si="4"/>
        <v>13</v>
      </c>
    </row>
    <row r="18" spans="5:23" ht="15.75" thickBot="1">
      <c r="E18" s="1494" t="s">
        <v>844</v>
      </c>
      <c r="F18" s="1495"/>
      <c r="G18" s="1495"/>
      <c r="H18" s="1495"/>
      <c r="I18" s="1496"/>
      <c r="J18" s="768"/>
      <c r="K18" s="1494" t="s">
        <v>843</v>
      </c>
      <c r="L18" s="1497"/>
      <c r="M18" s="1497"/>
      <c r="N18" s="1497"/>
      <c r="O18" s="1497"/>
      <c r="P18" s="1498"/>
      <c r="Q18" s="767"/>
      <c r="R18" s="1494" t="s">
        <v>842</v>
      </c>
      <c r="S18" s="1497"/>
      <c r="T18" s="1497"/>
      <c r="U18" s="1497"/>
      <c r="V18" s="1497"/>
      <c r="W18" s="1498"/>
    </row>
    <row r="19" spans="5:23">
      <c r="E19" s="765" t="str">
        <f t="shared" ref="E19:E24" si="5">E4</f>
        <v>Colonnes bois (FSC) &amp; Poutres bois (FSC)</v>
      </c>
      <c r="F19" s="765"/>
      <c r="G19" s="762"/>
      <c r="H19" s="764">
        <v>261</v>
      </c>
      <c r="I19" s="765">
        <v>1</v>
      </c>
      <c r="J19" s="765"/>
      <c r="K19" s="765" t="str">
        <f t="shared" ref="K19:K31" si="6">E4</f>
        <v>Colonnes bois (FSC) &amp; Poutres bois (FSC)</v>
      </c>
      <c r="L19" s="765"/>
      <c r="M19" s="762"/>
      <c r="N19" s="764"/>
      <c r="O19" s="763">
        <v>13.16</v>
      </c>
      <c r="P19" s="765">
        <v>1</v>
      </c>
      <c r="Q19" s="762"/>
      <c r="R19" s="765" t="str">
        <f t="shared" ref="R19:R26" si="7">E4</f>
        <v>Colonnes bois (FSC) &amp; Poutres bois (FSC)</v>
      </c>
      <c r="S19" s="765"/>
      <c r="T19" s="762"/>
      <c r="U19" s="764"/>
      <c r="V19" s="763">
        <v>8.3600000000000008E-2</v>
      </c>
      <c r="W19" s="762">
        <v>1</v>
      </c>
    </row>
    <row r="20" spans="5:23">
      <c r="E20" s="765" t="str">
        <f t="shared" si="5"/>
        <v>Colonnes bois &amp; Poutres bois (FSC)</v>
      </c>
      <c r="F20" s="765"/>
      <c r="G20" s="762"/>
      <c r="H20" s="764">
        <v>285</v>
      </c>
      <c r="I20" s="765">
        <v>2</v>
      </c>
      <c r="J20" s="765"/>
      <c r="K20" s="765" t="str">
        <f t="shared" si="6"/>
        <v>Colonnes bois &amp; Poutres bois (FSC)</v>
      </c>
      <c r="L20" s="765"/>
      <c r="M20" s="762"/>
      <c r="N20" s="764"/>
      <c r="O20" s="763">
        <v>14.98</v>
      </c>
      <c r="P20" s="765">
        <v>2</v>
      </c>
      <c r="Q20" s="762"/>
      <c r="R20" s="765" t="str">
        <f t="shared" si="7"/>
        <v>Colonnes bois &amp; Poutres bois (FSC)</v>
      </c>
      <c r="S20" s="765"/>
      <c r="T20" s="762"/>
      <c r="U20" s="764"/>
      <c r="V20" s="763">
        <v>9.820000000000001E-2</v>
      </c>
      <c r="W20" s="762">
        <v>2</v>
      </c>
    </row>
    <row r="21" spans="5:23">
      <c r="E21" s="765" t="str">
        <f t="shared" si="5"/>
        <v>Colonnes bois (FSC) &amp; Poutres bois</v>
      </c>
      <c r="F21" s="765"/>
      <c r="G21" s="762"/>
      <c r="H21" s="764">
        <v>366</v>
      </c>
      <c r="I21" s="765">
        <v>3</v>
      </c>
      <c r="J21" s="765"/>
      <c r="K21" s="765" t="str">
        <f t="shared" si="6"/>
        <v>Colonnes bois (FSC) &amp; Poutres bois</v>
      </c>
      <c r="L21" s="765"/>
      <c r="M21" s="762"/>
      <c r="N21" s="764"/>
      <c r="O21" s="763">
        <v>18.260000000000002</v>
      </c>
      <c r="P21" s="765">
        <v>3</v>
      </c>
      <c r="Q21" s="762"/>
      <c r="R21" s="765" t="str">
        <f t="shared" si="7"/>
        <v>Colonnes bois (FSC) &amp; Poutres bois</v>
      </c>
      <c r="S21" s="765"/>
      <c r="T21" s="762"/>
      <c r="U21" s="764"/>
      <c r="V21" s="763">
        <v>0.125</v>
      </c>
      <c r="W21" s="762">
        <v>3</v>
      </c>
    </row>
    <row r="22" spans="5:23">
      <c r="E22" s="765" t="str">
        <f t="shared" si="5"/>
        <v>Colonnes bois &amp; Poutres bois</v>
      </c>
      <c r="F22" s="765"/>
      <c r="G22" s="762"/>
      <c r="H22" s="764">
        <v>390</v>
      </c>
      <c r="I22" s="765">
        <v>4</v>
      </c>
      <c r="J22" s="765"/>
      <c r="K22" s="765" t="str">
        <f t="shared" si="6"/>
        <v>Colonnes bois &amp; Poutres bois</v>
      </c>
      <c r="L22" s="765"/>
      <c r="M22" s="762"/>
      <c r="N22" s="764"/>
      <c r="O22" s="763">
        <v>20.080000000000002</v>
      </c>
      <c r="P22" s="765">
        <v>4</v>
      </c>
      <c r="Q22" s="762"/>
      <c r="R22" s="765" t="str">
        <f t="shared" si="7"/>
        <v>Colonnes bois &amp; Poutres bois</v>
      </c>
      <c r="S22" s="765"/>
      <c r="T22" s="762"/>
      <c r="U22" s="764"/>
      <c r="V22" s="763">
        <v>0.1396</v>
      </c>
      <c r="W22" s="762">
        <v>4</v>
      </c>
    </row>
    <row r="23" spans="5:23">
      <c r="E23" s="765" t="str">
        <f t="shared" si="5"/>
        <v>Colonnes béton &amp; Poutres bois (FSC)</v>
      </c>
      <c r="F23" s="765"/>
      <c r="G23" s="762"/>
      <c r="H23" s="764">
        <v>615</v>
      </c>
      <c r="I23" s="765">
        <v>5</v>
      </c>
      <c r="J23" s="765"/>
      <c r="K23" s="765" t="str">
        <f t="shared" si="6"/>
        <v>Colonnes béton &amp; Poutres bois (FSC)</v>
      </c>
      <c r="L23" s="765"/>
      <c r="M23" s="762"/>
      <c r="N23" s="764"/>
      <c r="O23" s="763">
        <v>48.099999999999994</v>
      </c>
      <c r="P23" s="765">
        <v>5</v>
      </c>
      <c r="Q23" s="762"/>
      <c r="R23" s="765" t="str">
        <f t="shared" si="7"/>
        <v>Colonnes béton &amp; Poutres bois (FSC)</v>
      </c>
      <c r="S23" s="765"/>
      <c r="T23" s="762"/>
      <c r="U23" s="764"/>
      <c r="V23" s="763">
        <v>0.2072</v>
      </c>
      <c r="W23" s="762">
        <v>5</v>
      </c>
    </row>
    <row r="24" spans="5:23">
      <c r="E24" s="765" t="str">
        <f t="shared" si="5"/>
        <v>Colonnes métal &amp; Poutres bois (FSC)</v>
      </c>
      <c r="F24" s="765"/>
      <c r="G24" s="762"/>
      <c r="H24" s="764">
        <v>635</v>
      </c>
      <c r="I24" s="765">
        <v>6</v>
      </c>
      <c r="J24" s="765"/>
      <c r="K24" s="765" t="str">
        <f t="shared" si="6"/>
        <v>Colonnes métal &amp; Poutres bois (FSC)</v>
      </c>
      <c r="L24" s="765"/>
      <c r="M24" s="762"/>
      <c r="N24" s="764"/>
      <c r="O24" s="763">
        <v>53.2</v>
      </c>
      <c r="P24" s="765">
        <v>6</v>
      </c>
      <c r="Q24" s="762"/>
      <c r="R24" s="765" t="str">
        <f t="shared" si="7"/>
        <v>Colonnes métal &amp; Poutres bois (FSC)</v>
      </c>
      <c r="S24" s="765"/>
      <c r="T24" s="762"/>
      <c r="U24" s="764"/>
      <c r="V24" s="763">
        <v>0.24860000000000002</v>
      </c>
      <c r="W24" s="762">
        <v>6</v>
      </c>
    </row>
    <row r="25" spans="5:23">
      <c r="E25" s="765" t="str">
        <f>E11</f>
        <v>Colonnes béton &amp; Poutres bois</v>
      </c>
      <c r="F25" s="765"/>
      <c r="G25" s="762"/>
      <c r="H25" s="764">
        <v>720</v>
      </c>
      <c r="I25" s="765">
        <v>7</v>
      </c>
      <c r="J25" s="765"/>
      <c r="K25" s="765" t="str">
        <f t="shared" si="6"/>
        <v>Colonnes métal &amp; Poutres bois</v>
      </c>
      <c r="L25" s="765"/>
      <c r="M25" s="762"/>
      <c r="N25" s="764"/>
      <c r="O25" s="763">
        <v>53.2</v>
      </c>
      <c r="P25" s="765">
        <v>7</v>
      </c>
      <c r="Q25" s="762"/>
      <c r="R25" s="765" t="str">
        <f t="shared" si="7"/>
        <v>Colonnes métal &amp; Poutres bois</v>
      </c>
      <c r="S25" s="765"/>
      <c r="T25" s="762"/>
      <c r="U25" s="764"/>
      <c r="V25" s="763">
        <v>0.24860000000000002</v>
      </c>
      <c r="W25" s="762">
        <v>7</v>
      </c>
    </row>
    <row r="26" spans="5:23">
      <c r="E26" s="765" t="str">
        <f>E10</f>
        <v>Colonnes métal &amp; Poutres bois</v>
      </c>
      <c r="F26" s="765"/>
      <c r="G26" s="762"/>
      <c r="H26" s="764">
        <v>740</v>
      </c>
      <c r="I26" s="765">
        <v>8</v>
      </c>
      <c r="J26" s="765"/>
      <c r="K26" s="765" t="str">
        <f t="shared" si="6"/>
        <v>Colonnes béton &amp; Poutres bois</v>
      </c>
      <c r="L26" s="765"/>
      <c r="M26" s="762"/>
      <c r="N26" s="764"/>
      <c r="O26" s="763">
        <v>53.2</v>
      </c>
      <c r="P26" s="765">
        <v>8</v>
      </c>
      <c r="Q26" s="762"/>
      <c r="R26" s="765" t="str">
        <f t="shared" si="7"/>
        <v>Colonnes béton &amp; Poutres bois</v>
      </c>
      <c r="S26" s="765"/>
      <c r="T26" s="762"/>
      <c r="U26" s="764"/>
      <c r="V26" s="763">
        <v>0.24860000000000002</v>
      </c>
      <c r="W26" s="762">
        <v>8</v>
      </c>
    </row>
    <row r="27" spans="5:23">
      <c r="E27" s="765" t="str">
        <f>E12</f>
        <v>Colonnes bois (FSC) &amp; Poutres métal</v>
      </c>
      <c r="F27" s="765"/>
      <c r="G27" s="762"/>
      <c r="H27" s="764">
        <v>1502</v>
      </c>
      <c r="I27" s="765">
        <v>9</v>
      </c>
      <c r="J27" s="765"/>
      <c r="K27" s="765" t="str">
        <f t="shared" si="6"/>
        <v>Colonnes bois (FSC) &amp; Poutres métal</v>
      </c>
      <c r="L27" s="765"/>
      <c r="M27" s="762"/>
      <c r="N27" s="764"/>
      <c r="O27" s="763">
        <v>129.46</v>
      </c>
      <c r="P27" s="765">
        <v>9</v>
      </c>
      <c r="Q27" s="762"/>
      <c r="R27" s="765" t="str">
        <f>E14</f>
        <v>Colonnes béton &amp; Poutres béton</v>
      </c>
      <c r="S27" s="765"/>
      <c r="T27" s="762"/>
      <c r="U27" s="764"/>
      <c r="V27" s="763">
        <v>0.59160000000000001</v>
      </c>
      <c r="W27" s="762">
        <v>9</v>
      </c>
    </row>
    <row r="28" spans="5:23">
      <c r="E28" s="765" t="str">
        <f>E13</f>
        <v>Colonnes bois &amp; Poutres métal</v>
      </c>
      <c r="F28" s="765"/>
      <c r="G28" s="762"/>
      <c r="H28" s="764">
        <v>1526</v>
      </c>
      <c r="I28" s="765">
        <v>10</v>
      </c>
      <c r="J28" s="765"/>
      <c r="K28" s="765" t="str">
        <f t="shared" si="6"/>
        <v>Colonnes bois &amp; Poutres métal</v>
      </c>
      <c r="L28" s="765"/>
      <c r="M28" s="762"/>
      <c r="N28" s="766"/>
      <c r="O28" s="763">
        <v>131.28</v>
      </c>
      <c r="P28" s="765">
        <v>10</v>
      </c>
      <c r="Q28" s="762"/>
      <c r="R28" s="765" t="str">
        <f>E12</f>
        <v>Colonnes bois (FSC) &amp; Poutres métal</v>
      </c>
      <c r="S28" s="765"/>
      <c r="T28" s="762"/>
      <c r="U28" s="764"/>
      <c r="V28" s="763">
        <v>0.59799999999999998</v>
      </c>
      <c r="W28" s="762">
        <v>10</v>
      </c>
    </row>
    <row r="29" spans="5:23">
      <c r="E29" s="765" t="str">
        <f>E14</f>
        <v>Colonnes béton &amp; Poutres béton</v>
      </c>
      <c r="F29" s="765"/>
      <c r="G29" s="762"/>
      <c r="H29" s="764">
        <v>1810</v>
      </c>
      <c r="I29" s="765">
        <v>11</v>
      </c>
      <c r="J29" s="765"/>
      <c r="K29" s="765" t="str">
        <f t="shared" si="6"/>
        <v>Colonnes béton &amp; Poutres béton</v>
      </c>
      <c r="L29" s="765"/>
      <c r="M29" s="762"/>
      <c r="N29" s="764"/>
      <c r="O29" s="763">
        <v>156.4</v>
      </c>
      <c r="P29" s="765">
        <v>11</v>
      </c>
      <c r="Q29" s="762"/>
      <c r="R29" s="765" t="str">
        <f>E13</f>
        <v>Colonnes bois &amp; Poutres métal</v>
      </c>
      <c r="S29" s="765"/>
      <c r="T29" s="762"/>
      <c r="U29" s="764"/>
      <c r="V29" s="763">
        <v>0.61259999999999992</v>
      </c>
      <c r="W29" s="762">
        <v>11</v>
      </c>
    </row>
    <row r="30" spans="5:23">
      <c r="E30" s="765" t="str">
        <f>E16</f>
        <v>Colonnes béton &amp; Poutres métal</v>
      </c>
      <c r="F30" s="765"/>
      <c r="G30" s="762"/>
      <c r="H30" s="764">
        <v>1856</v>
      </c>
      <c r="I30" s="765">
        <v>12</v>
      </c>
      <c r="J30" s="765"/>
      <c r="K30" s="765" t="str">
        <f t="shared" si="6"/>
        <v>Colonnes métal &amp; Poutres métal</v>
      </c>
      <c r="L30" s="765"/>
      <c r="M30" s="762"/>
      <c r="N30" s="764"/>
      <c r="O30" s="763">
        <v>164.4</v>
      </c>
      <c r="P30" s="765">
        <v>12</v>
      </c>
      <c r="Q30" s="762"/>
      <c r="R30" s="765" t="str">
        <f>E15</f>
        <v>Colonnes métal &amp; Poutres métal</v>
      </c>
      <c r="S30" s="765"/>
      <c r="T30" s="762"/>
      <c r="U30" s="764"/>
      <c r="V30" s="763">
        <v>0.72160000000000002</v>
      </c>
      <c r="W30" s="762">
        <v>12</v>
      </c>
    </row>
    <row r="31" spans="5:23">
      <c r="E31" s="765" t="str">
        <f>E15</f>
        <v>Colonnes métal &amp; Poutres métal</v>
      </c>
      <c r="F31" s="765"/>
      <c r="G31" s="762"/>
      <c r="H31" s="764">
        <v>1876</v>
      </c>
      <c r="I31" s="765">
        <v>13</v>
      </c>
      <c r="J31" s="765"/>
      <c r="K31" s="765" t="str">
        <f t="shared" si="6"/>
        <v>Colonnes béton &amp; Poutres métal</v>
      </c>
      <c r="L31" s="765"/>
      <c r="M31" s="762"/>
      <c r="N31" s="764"/>
      <c r="O31" s="763">
        <v>164.4</v>
      </c>
      <c r="P31" s="765">
        <v>13</v>
      </c>
      <c r="Q31" s="762"/>
      <c r="R31" s="765" t="str">
        <f>E16</f>
        <v>Colonnes béton &amp; Poutres métal</v>
      </c>
      <c r="S31" s="765"/>
      <c r="T31" s="762"/>
      <c r="U31" s="764"/>
      <c r="V31" s="763">
        <v>0.72160000000000002</v>
      </c>
      <c r="W31" s="762">
        <v>13</v>
      </c>
    </row>
    <row r="32" spans="5:23">
      <c r="E32" s="761"/>
      <c r="F32" s="761"/>
      <c r="G32" s="761"/>
      <c r="H32" s="761"/>
      <c r="I32" s="761"/>
      <c r="J32" s="761"/>
      <c r="K32" s="761"/>
    </row>
    <row r="33" spans="5:11">
      <c r="E33" s="761"/>
      <c r="F33" s="761"/>
      <c r="G33" s="761"/>
      <c r="H33" s="761"/>
      <c r="I33" s="761"/>
      <c r="J33" s="761"/>
      <c r="K33" s="761"/>
    </row>
    <row r="34" spans="5:11">
      <c r="E34" s="761"/>
      <c r="F34" s="761"/>
      <c r="G34" s="761"/>
      <c r="H34" s="761"/>
      <c r="I34" s="761"/>
      <c r="J34" s="761"/>
      <c r="K34" s="761"/>
    </row>
    <row r="35" spans="5:11">
      <c r="E35" s="761"/>
      <c r="F35" s="761"/>
      <c r="G35" s="761"/>
      <c r="H35" s="761"/>
      <c r="I35" s="761"/>
      <c r="J35" s="761"/>
      <c r="K35" s="761"/>
    </row>
    <row r="36" spans="5:11">
      <c r="E36" s="761"/>
      <c r="F36" s="761"/>
      <c r="G36" s="761"/>
      <c r="H36" s="761"/>
      <c r="I36" s="761"/>
      <c r="J36" s="761"/>
      <c r="K36" s="761"/>
    </row>
    <row r="37" spans="5:11">
      <c r="E37" s="761"/>
      <c r="F37" s="761"/>
      <c r="G37" s="761"/>
      <c r="H37" s="761"/>
      <c r="I37" s="761"/>
      <c r="J37" s="761"/>
      <c r="K37" s="761"/>
    </row>
    <row r="38" spans="5:11">
      <c r="E38" s="761"/>
      <c r="F38" s="761"/>
      <c r="G38" s="761"/>
      <c r="H38" s="761"/>
      <c r="I38" s="761"/>
      <c r="J38" s="761"/>
      <c r="K38" s="761"/>
    </row>
    <row r="39" spans="5:11">
      <c r="E39" s="761"/>
      <c r="F39" s="761"/>
      <c r="G39" s="761"/>
      <c r="H39" s="761"/>
      <c r="I39" s="761"/>
      <c r="J39" s="761"/>
      <c r="K39" s="761"/>
    </row>
    <row r="40" spans="5:11">
      <c r="E40" s="761"/>
      <c r="F40" s="761"/>
      <c r="G40" s="761"/>
      <c r="H40" s="761"/>
      <c r="I40" s="761"/>
      <c r="J40" s="761"/>
      <c r="K40" s="761"/>
    </row>
    <row r="41" spans="5:11">
      <c r="E41" s="761"/>
      <c r="F41" s="761"/>
      <c r="G41" s="761"/>
      <c r="H41" s="761"/>
      <c r="I41" s="761"/>
      <c r="J41" s="761"/>
      <c r="K41" s="761"/>
    </row>
    <row r="42" spans="5:11">
      <c r="E42" s="761"/>
      <c r="F42" s="761"/>
      <c r="G42" s="761"/>
      <c r="H42" s="761"/>
      <c r="I42" s="761"/>
      <c r="J42" s="761"/>
      <c r="K42" s="761"/>
    </row>
    <row r="43" spans="5:11">
      <c r="J43" s="761"/>
    </row>
    <row r="44" spans="5:11">
      <c r="J44" s="761"/>
    </row>
    <row r="45" spans="5:11">
      <c r="J45" s="761"/>
    </row>
  </sheetData>
  <mergeCells count="3">
    <mergeCell ref="E18:I18"/>
    <mergeCell ref="K18:P18"/>
    <mergeCell ref="R18:W18"/>
  </mergeCells>
  <conditionalFormatting sqref="L4:L16">
    <cfRule type="cellIs" dxfId="20" priority="1" stopIfTrue="1" operator="equal">
      <formula>4</formula>
    </cfRule>
    <cfRule type="cellIs" dxfId="19" priority="2" stopIfTrue="1" operator="equal">
      <formula>3</formula>
    </cfRule>
    <cfRule type="cellIs" dxfId="18" priority="3" stopIfTrue="1" operator="equal">
      <formula>2</formula>
    </cfRule>
  </conditionalFormatting>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enableFormatConditionsCalculation="0"/>
  <dimension ref="A1:AJ188"/>
  <sheetViews>
    <sheetView topLeftCell="A166" zoomScale="80" zoomScaleNormal="80" zoomScalePageLayoutView="80" workbookViewId="0"/>
  </sheetViews>
  <sheetFormatPr defaultColWidth="9.140625" defaultRowHeight="15"/>
  <cols>
    <col min="1" max="4" width="9.7109375" customWidth="1"/>
    <col min="5" max="7" width="13.7109375" customWidth="1"/>
    <col min="8" max="8" width="39.42578125" customWidth="1"/>
    <col min="9" max="11" width="11.85546875" customWidth="1"/>
    <col min="12" max="12" width="9.140625" customWidth="1"/>
    <col min="13" max="13" width="13.85546875" customWidth="1"/>
    <col min="15" max="17" width="9.140625" customWidth="1"/>
    <col min="19" max="19" width="9.140625" style="778"/>
    <col min="257" max="260" width="9.7109375" customWidth="1"/>
    <col min="261" max="264" width="13.7109375" customWidth="1"/>
    <col min="265" max="267" width="11.85546875" customWidth="1"/>
    <col min="268" max="268" width="9.140625" customWidth="1"/>
    <col min="269" max="269" width="13.85546875" customWidth="1"/>
    <col min="513" max="516" width="9.7109375" customWidth="1"/>
    <col min="517" max="520" width="13.7109375" customWidth="1"/>
    <col min="521" max="523" width="11.85546875" customWidth="1"/>
    <col min="524" max="524" width="9.140625" customWidth="1"/>
    <col min="525" max="525" width="13.85546875" customWidth="1"/>
    <col min="769" max="772" width="9.7109375" customWidth="1"/>
    <col min="773" max="776" width="13.7109375" customWidth="1"/>
    <col min="777" max="779" width="11.85546875" customWidth="1"/>
    <col min="780" max="780" width="9.140625" customWidth="1"/>
    <col min="781" max="781" width="13.85546875" customWidth="1"/>
    <col min="1025" max="1028" width="9.7109375" customWidth="1"/>
    <col min="1029" max="1032" width="13.7109375" customWidth="1"/>
    <col min="1033" max="1035" width="11.85546875" customWidth="1"/>
    <col min="1036" max="1036" width="9.140625" customWidth="1"/>
    <col min="1037" max="1037" width="13.85546875" customWidth="1"/>
    <col min="1281" max="1284" width="9.7109375" customWidth="1"/>
    <col min="1285" max="1288" width="13.7109375" customWidth="1"/>
    <col min="1289" max="1291" width="11.85546875" customWidth="1"/>
    <col min="1292" max="1292" width="9.140625" customWidth="1"/>
    <col min="1293" max="1293" width="13.85546875" customWidth="1"/>
    <col min="1537" max="1540" width="9.7109375" customWidth="1"/>
    <col min="1541" max="1544" width="13.7109375" customWidth="1"/>
    <col min="1545" max="1547" width="11.85546875" customWidth="1"/>
    <col min="1548" max="1548" width="9.140625" customWidth="1"/>
    <col min="1549" max="1549" width="13.85546875" customWidth="1"/>
    <col min="1793" max="1796" width="9.7109375" customWidth="1"/>
    <col min="1797" max="1800" width="13.7109375" customWidth="1"/>
    <col min="1801" max="1803" width="11.85546875" customWidth="1"/>
    <col min="1804" max="1804" width="9.140625" customWidth="1"/>
    <col min="1805" max="1805" width="13.85546875" customWidth="1"/>
    <col min="2049" max="2052" width="9.7109375" customWidth="1"/>
    <col min="2053" max="2056" width="13.7109375" customWidth="1"/>
    <col min="2057" max="2059" width="11.85546875" customWidth="1"/>
    <col min="2060" max="2060" width="9.140625" customWidth="1"/>
    <col min="2061" max="2061" width="13.85546875" customWidth="1"/>
    <col min="2305" max="2308" width="9.7109375" customWidth="1"/>
    <col min="2309" max="2312" width="13.7109375" customWidth="1"/>
    <col min="2313" max="2315" width="11.85546875" customWidth="1"/>
    <col min="2316" max="2316" width="9.140625" customWidth="1"/>
    <col min="2317" max="2317" width="13.85546875" customWidth="1"/>
    <col min="2561" max="2564" width="9.7109375" customWidth="1"/>
    <col min="2565" max="2568" width="13.7109375" customWidth="1"/>
    <col min="2569" max="2571" width="11.85546875" customWidth="1"/>
    <col min="2572" max="2572" width="9.140625" customWidth="1"/>
    <col min="2573" max="2573" width="13.85546875" customWidth="1"/>
    <col min="2817" max="2820" width="9.7109375" customWidth="1"/>
    <col min="2821" max="2824" width="13.7109375" customWidth="1"/>
    <col min="2825" max="2827" width="11.85546875" customWidth="1"/>
    <col min="2828" max="2828" width="9.140625" customWidth="1"/>
    <col min="2829" max="2829" width="13.85546875" customWidth="1"/>
    <col min="3073" max="3076" width="9.7109375" customWidth="1"/>
    <col min="3077" max="3080" width="13.7109375" customWidth="1"/>
    <col min="3081" max="3083" width="11.85546875" customWidth="1"/>
    <col min="3084" max="3084" width="9.140625" customWidth="1"/>
    <col min="3085" max="3085" width="13.85546875" customWidth="1"/>
    <col min="3329" max="3332" width="9.7109375" customWidth="1"/>
    <col min="3333" max="3336" width="13.7109375" customWidth="1"/>
    <col min="3337" max="3339" width="11.85546875" customWidth="1"/>
    <col min="3340" max="3340" width="9.140625" customWidth="1"/>
    <col min="3341" max="3341" width="13.85546875" customWidth="1"/>
    <col min="3585" max="3588" width="9.7109375" customWidth="1"/>
    <col min="3589" max="3592" width="13.7109375" customWidth="1"/>
    <col min="3593" max="3595" width="11.85546875" customWidth="1"/>
    <col min="3596" max="3596" width="9.140625" customWidth="1"/>
    <col min="3597" max="3597" width="13.85546875" customWidth="1"/>
    <col min="3841" max="3844" width="9.7109375" customWidth="1"/>
    <col min="3845" max="3848" width="13.7109375" customWidth="1"/>
    <col min="3849" max="3851" width="11.85546875" customWidth="1"/>
    <col min="3852" max="3852" width="9.140625" customWidth="1"/>
    <col min="3853" max="3853" width="13.85546875" customWidth="1"/>
    <col min="4097" max="4100" width="9.7109375" customWidth="1"/>
    <col min="4101" max="4104" width="13.7109375" customWidth="1"/>
    <col min="4105" max="4107" width="11.85546875" customWidth="1"/>
    <col min="4108" max="4108" width="9.140625" customWidth="1"/>
    <col min="4109" max="4109" width="13.85546875" customWidth="1"/>
    <col min="4353" max="4356" width="9.7109375" customWidth="1"/>
    <col min="4357" max="4360" width="13.7109375" customWidth="1"/>
    <col min="4361" max="4363" width="11.85546875" customWidth="1"/>
    <col min="4364" max="4364" width="9.140625" customWidth="1"/>
    <col min="4365" max="4365" width="13.85546875" customWidth="1"/>
    <col min="4609" max="4612" width="9.7109375" customWidth="1"/>
    <col min="4613" max="4616" width="13.7109375" customWidth="1"/>
    <col min="4617" max="4619" width="11.85546875" customWidth="1"/>
    <col min="4620" max="4620" width="9.140625" customWidth="1"/>
    <col min="4621" max="4621" width="13.85546875" customWidth="1"/>
    <col min="4865" max="4868" width="9.7109375" customWidth="1"/>
    <col min="4869" max="4872" width="13.7109375" customWidth="1"/>
    <col min="4873" max="4875" width="11.85546875" customWidth="1"/>
    <col min="4876" max="4876" width="9.140625" customWidth="1"/>
    <col min="4877" max="4877" width="13.85546875" customWidth="1"/>
    <col min="5121" max="5124" width="9.7109375" customWidth="1"/>
    <col min="5125" max="5128" width="13.7109375" customWidth="1"/>
    <col min="5129" max="5131" width="11.85546875" customWidth="1"/>
    <col min="5132" max="5132" width="9.140625" customWidth="1"/>
    <col min="5133" max="5133" width="13.85546875" customWidth="1"/>
    <col min="5377" max="5380" width="9.7109375" customWidth="1"/>
    <col min="5381" max="5384" width="13.7109375" customWidth="1"/>
    <col min="5385" max="5387" width="11.85546875" customWidth="1"/>
    <col min="5388" max="5388" width="9.140625" customWidth="1"/>
    <col min="5389" max="5389" width="13.85546875" customWidth="1"/>
    <col min="5633" max="5636" width="9.7109375" customWidth="1"/>
    <col min="5637" max="5640" width="13.7109375" customWidth="1"/>
    <col min="5641" max="5643" width="11.85546875" customWidth="1"/>
    <col min="5644" max="5644" width="9.140625" customWidth="1"/>
    <col min="5645" max="5645" width="13.85546875" customWidth="1"/>
    <col min="5889" max="5892" width="9.7109375" customWidth="1"/>
    <col min="5893" max="5896" width="13.7109375" customWidth="1"/>
    <col min="5897" max="5899" width="11.85546875" customWidth="1"/>
    <col min="5900" max="5900" width="9.140625" customWidth="1"/>
    <col min="5901" max="5901" width="13.85546875" customWidth="1"/>
    <col min="6145" max="6148" width="9.7109375" customWidth="1"/>
    <col min="6149" max="6152" width="13.7109375" customWidth="1"/>
    <col min="6153" max="6155" width="11.85546875" customWidth="1"/>
    <col min="6156" max="6156" width="9.140625" customWidth="1"/>
    <col min="6157" max="6157" width="13.85546875" customWidth="1"/>
    <col min="6401" max="6404" width="9.7109375" customWidth="1"/>
    <col min="6405" max="6408" width="13.7109375" customWidth="1"/>
    <col min="6409" max="6411" width="11.85546875" customWidth="1"/>
    <col min="6412" max="6412" width="9.140625" customWidth="1"/>
    <col min="6413" max="6413" width="13.85546875" customWidth="1"/>
    <col min="6657" max="6660" width="9.7109375" customWidth="1"/>
    <col min="6661" max="6664" width="13.7109375" customWidth="1"/>
    <col min="6665" max="6667" width="11.85546875" customWidth="1"/>
    <col min="6668" max="6668" width="9.140625" customWidth="1"/>
    <col min="6669" max="6669" width="13.85546875" customWidth="1"/>
    <col min="6913" max="6916" width="9.7109375" customWidth="1"/>
    <col min="6917" max="6920" width="13.7109375" customWidth="1"/>
    <col min="6921" max="6923" width="11.85546875" customWidth="1"/>
    <col min="6924" max="6924" width="9.140625" customWidth="1"/>
    <col min="6925" max="6925" width="13.85546875" customWidth="1"/>
    <col min="7169" max="7172" width="9.7109375" customWidth="1"/>
    <col min="7173" max="7176" width="13.7109375" customWidth="1"/>
    <col min="7177" max="7179" width="11.85546875" customWidth="1"/>
    <col min="7180" max="7180" width="9.140625" customWidth="1"/>
    <col min="7181" max="7181" width="13.85546875" customWidth="1"/>
    <col min="7425" max="7428" width="9.7109375" customWidth="1"/>
    <col min="7429" max="7432" width="13.7109375" customWidth="1"/>
    <col min="7433" max="7435" width="11.85546875" customWidth="1"/>
    <col min="7436" max="7436" width="9.140625" customWidth="1"/>
    <col min="7437" max="7437" width="13.85546875" customWidth="1"/>
    <col min="7681" max="7684" width="9.7109375" customWidth="1"/>
    <col min="7685" max="7688" width="13.7109375" customWidth="1"/>
    <col min="7689" max="7691" width="11.85546875" customWidth="1"/>
    <col min="7692" max="7692" width="9.140625" customWidth="1"/>
    <col min="7693" max="7693" width="13.85546875" customWidth="1"/>
    <col min="7937" max="7940" width="9.7109375" customWidth="1"/>
    <col min="7941" max="7944" width="13.7109375" customWidth="1"/>
    <col min="7945" max="7947" width="11.85546875" customWidth="1"/>
    <col min="7948" max="7948" width="9.140625" customWidth="1"/>
    <col min="7949" max="7949" width="13.85546875" customWidth="1"/>
    <col min="8193" max="8196" width="9.7109375" customWidth="1"/>
    <col min="8197" max="8200" width="13.7109375" customWidth="1"/>
    <col min="8201" max="8203" width="11.85546875" customWidth="1"/>
    <col min="8204" max="8204" width="9.140625" customWidth="1"/>
    <col min="8205" max="8205" width="13.85546875" customWidth="1"/>
    <col min="8449" max="8452" width="9.7109375" customWidth="1"/>
    <col min="8453" max="8456" width="13.7109375" customWidth="1"/>
    <col min="8457" max="8459" width="11.85546875" customWidth="1"/>
    <col min="8460" max="8460" width="9.140625" customWidth="1"/>
    <col min="8461" max="8461" width="13.85546875" customWidth="1"/>
    <col min="8705" max="8708" width="9.7109375" customWidth="1"/>
    <col min="8709" max="8712" width="13.7109375" customWidth="1"/>
    <col min="8713" max="8715" width="11.85546875" customWidth="1"/>
    <col min="8716" max="8716" width="9.140625" customWidth="1"/>
    <col min="8717" max="8717" width="13.85546875" customWidth="1"/>
    <col min="8961" max="8964" width="9.7109375" customWidth="1"/>
    <col min="8965" max="8968" width="13.7109375" customWidth="1"/>
    <col min="8969" max="8971" width="11.85546875" customWidth="1"/>
    <col min="8972" max="8972" width="9.140625" customWidth="1"/>
    <col min="8973" max="8973" width="13.85546875" customWidth="1"/>
    <col min="9217" max="9220" width="9.7109375" customWidth="1"/>
    <col min="9221" max="9224" width="13.7109375" customWidth="1"/>
    <col min="9225" max="9227" width="11.85546875" customWidth="1"/>
    <col min="9228" max="9228" width="9.140625" customWidth="1"/>
    <col min="9229" max="9229" width="13.85546875" customWidth="1"/>
    <col min="9473" max="9476" width="9.7109375" customWidth="1"/>
    <col min="9477" max="9480" width="13.7109375" customWidth="1"/>
    <col min="9481" max="9483" width="11.85546875" customWidth="1"/>
    <col min="9484" max="9484" width="9.140625" customWidth="1"/>
    <col min="9485" max="9485" width="13.85546875" customWidth="1"/>
    <col min="9729" max="9732" width="9.7109375" customWidth="1"/>
    <col min="9733" max="9736" width="13.7109375" customWidth="1"/>
    <col min="9737" max="9739" width="11.85546875" customWidth="1"/>
    <col min="9740" max="9740" width="9.140625" customWidth="1"/>
    <col min="9741" max="9741" width="13.85546875" customWidth="1"/>
    <col min="9985" max="9988" width="9.7109375" customWidth="1"/>
    <col min="9989" max="9992" width="13.7109375" customWidth="1"/>
    <col min="9993" max="9995" width="11.85546875" customWidth="1"/>
    <col min="9996" max="9996" width="9.140625" customWidth="1"/>
    <col min="9997" max="9997" width="13.85546875" customWidth="1"/>
    <col min="10241" max="10244" width="9.7109375" customWidth="1"/>
    <col min="10245" max="10248" width="13.7109375" customWidth="1"/>
    <col min="10249" max="10251" width="11.85546875" customWidth="1"/>
    <col min="10252" max="10252" width="9.140625" customWidth="1"/>
    <col min="10253" max="10253" width="13.85546875" customWidth="1"/>
    <col min="10497" max="10500" width="9.7109375" customWidth="1"/>
    <col min="10501" max="10504" width="13.7109375" customWidth="1"/>
    <col min="10505" max="10507" width="11.85546875" customWidth="1"/>
    <col min="10508" max="10508" width="9.140625" customWidth="1"/>
    <col min="10509" max="10509" width="13.85546875" customWidth="1"/>
    <col min="10753" max="10756" width="9.7109375" customWidth="1"/>
    <col min="10757" max="10760" width="13.7109375" customWidth="1"/>
    <col min="10761" max="10763" width="11.85546875" customWidth="1"/>
    <col min="10764" max="10764" width="9.140625" customWidth="1"/>
    <col min="10765" max="10765" width="13.85546875" customWidth="1"/>
    <col min="11009" max="11012" width="9.7109375" customWidth="1"/>
    <col min="11013" max="11016" width="13.7109375" customWidth="1"/>
    <col min="11017" max="11019" width="11.85546875" customWidth="1"/>
    <col min="11020" max="11020" width="9.140625" customWidth="1"/>
    <col min="11021" max="11021" width="13.85546875" customWidth="1"/>
    <col min="11265" max="11268" width="9.7109375" customWidth="1"/>
    <col min="11269" max="11272" width="13.7109375" customWidth="1"/>
    <col min="11273" max="11275" width="11.85546875" customWidth="1"/>
    <col min="11276" max="11276" width="9.140625" customWidth="1"/>
    <col min="11277" max="11277" width="13.85546875" customWidth="1"/>
    <col min="11521" max="11524" width="9.7109375" customWidth="1"/>
    <col min="11525" max="11528" width="13.7109375" customWidth="1"/>
    <col min="11529" max="11531" width="11.85546875" customWidth="1"/>
    <col min="11532" max="11532" width="9.140625" customWidth="1"/>
    <col min="11533" max="11533" width="13.85546875" customWidth="1"/>
    <col min="11777" max="11780" width="9.7109375" customWidth="1"/>
    <col min="11781" max="11784" width="13.7109375" customWidth="1"/>
    <col min="11785" max="11787" width="11.85546875" customWidth="1"/>
    <col min="11788" max="11788" width="9.140625" customWidth="1"/>
    <col min="11789" max="11789" width="13.85546875" customWidth="1"/>
    <col min="12033" max="12036" width="9.7109375" customWidth="1"/>
    <col min="12037" max="12040" width="13.7109375" customWidth="1"/>
    <col min="12041" max="12043" width="11.85546875" customWidth="1"/>
    <col min="12044" max="12044" width="9.140625" customWidth="1"/>
    <col min="12045" max="12045" width="13.85546875" customWidth="1"/>
    <col min="12289" max="12292" width="9.7109375" customWidth="1"/>
    <col min="12293" max="12296" width="13.7109375" customWidth="1"/>
    <col min="12297" max="12299" width="11.85546875" customWidth="1"/>
    <col min="12300" max="12300" width="9.140625" customWidth="1"/>
    <col min="12301" max="12301" width="13.85546875" customWidth="1"/>
    <col min="12545" max="12548" width="9.7109375" customWidth="1"/>
    <col min="12549" max="12552" width="13.7109375" customWidth="1"/>
    <col min="12553" max="12555" width="11.85546875" customWidth="1"/>
    <col min="12556" max="12556" width="9.140625" customWidth="1"/>
    <col min="12557" max="12557" width="13.85546875" customWidth="1"/>
    <col min="12801" max="12804" width="9.7109375" customWidth="1"/>
    <col min="12805" max="12808" width="13.7109375" customWidth="1"/>
    <col min="12809" max="12811" width="11.85546875" customWidth="1"/>
    <col min="12812" max="12812" width="9.140625" customWidth="1"/>
    <col min="12813" max="12813" width="13.85546875" customWidth="1"/>
    <col min="13057" max="13060" width="9.7109375" customWidth="1"/>
    <col min="13061" max="13064" width="13.7109375" customWidth="1"/>
    <col min="13065" max="13067" width="11.85546875" customWidth="1"/>
    <col min="13068" max="13068" width="9.140625" customWidth="1"/>
    <col min="13069" max="13069" width="13.85546875" customWidth="1"/>
    <col min="13313" max="13316" width="9.7109375" customWidth="1"/>
    <col min="13317" max="13320" width="13.7109375" customWidth="1"/>
    <col min="13321" max="13323" width="11.85546875" customWidth="1"/>
    <col min="13324" max="13324" width="9.140625" customWidth="1"/>
    <col min="13325" max="13325" width="13.85546875" customWidth="1"/>
    <col min="13569" max="13572" width="9.7109375" customWidth="1"/>
    <col min="13573" max="13576" width="13.7109375" customWidth="1"/>
    <col min="13577" max="13579" width="11.85546875" customWidth="1"/>
    <col min="13580" max="13580" width="9.140625" customWidth="1"/>
    <col min="13581" max="13581" width="13.85546875" customWidth="1"/>
    <col min="13825" max="13828" width="9.7109375" customWidth="1"/>
    <col min="13829" max="13832" width="13.7109375" customWidth="1"/>
    <col min="13833" max="13835" width="11.85546875" customWidth="1"/>
    <col min="13836" max="13836" width="9.140625" customWidth="1"/>
    <col min="13837" max="13837" width="13.85546875" customWidth="1"/>
    <col min="14081" max="14084" width="9.7109375" customWidth="1"/>
    <col min="14085" max="14088" width="13.7109375" customWidth="1"/>
    <col min="14089" max="14091" width="11.85546875" customWidth="1"/>
    <col min="14092" max="14092" width="9.140625" customWidth="1"/>
    <col min="14093" max="14093" width="13.85546875" customWidth="1"/>
    <col min="14337" max="14340" width="9.7109375" customWidth="1"/>
    <col min="14341" max="14344" width="13.7109375" customWidth="1"/>
    <col min="14345" max="14347" width="11.85546875" customWidth="1"/>
    <col min="14348" max="14348" width="9.140625" customWidth="1"/>
    <col min="14349" max="14349" width="13.85546875" customWidth="1"/>
    <col min="14593" max="14596" width="9.7109375" customWidth="1"/>
    <col min="14597" max="14600" width="13.7109375" customWidth="1"/>
    <col min="14601" max="14603" width="11.85546875" customWidth="1"/>
    <col min="14604" max="14604" width="9.140625" customWidth="1"/>
    <col min="14605" max="14605" width="13.85546875" customWidth="1"/>
    <col min="14849" max="14852" width="9.7109375" customWidth="1"/>
    <col min="14853" max="14856" width="13.7109375" customWidth="1"/>
    <col min="14857" max="14859" width="11.85546875" customWidth="1"/>
    <col min="14860" max="14860" width="9.140625" customWidth="1"/>
    <col min="14861" max="14861" width="13.85546875" customWidth="1"/>
    <col min="15105" max="15108" width="9.7109375" customWidth="1"/>
    <col min="15109" max="15112" width="13.7109375" customWidth="1"/>
    <col min="15113" max="15115" width="11.85546875" customWidth="1"/>
    <col min="15116" max="15116" width="9.140625" customWidth="1"/>
    <col min="15117" max="15117" width="13.85546875" customWidth="1"/>
    <col min="15361" max="15364" width="9.7109375" customWidth="1"/>
    <col min="15365" max="15368" width="13.7109375" customWidth="1"/>
    <col min="15369" max="15371" width="11.85546875" customWidth="1"/>
    <col min="15372" max="15372" width="9.140625" customWidth="1"/>
    <col min="15373" max="15373" width="13.85546875" customWidth="1"/>
    <col min="15617" max="15620" width="9.7109375" customWidth="1"/>
    <col min="15621" max="15624" width="13.7109375" customWidth="1"/>
    <col min="15625" max="15627" width="11.85546875" customWidth="1"/>
    <col min="15628" max="15628" width="9.140625" customWidth="1"/>
    <col min="15629" max="15629" width="13.85546875" customWidth="1"/>
    <col min="15873" max="15876" width="9.7109375" customWidth="1"/>
    <col min="15877" max="15880" width="13.7109375" customWidth="1"/>
    <col min="15881" max="15883" width="11.85546875" customWidth="1"/>
    <col min="15884" max="15884" width="9.140625" customWidth="1"/>
    <col min="15885" max="15885" width="13.85546875" customWidth="1"/>
    <col min="16129" max="16132" width="9.7109375" customWidth="1"/>
    <col min="16133" max="16136" width="13.7109375" customWidth="1"/>
    <col min="16137" max="16139" width="11.85546875" customWidth="1"/>
    <col min="16140" max="16140" width="9.140625" customWidth="1"/>
    <col min="16141" max="16141" width="13.85546875" customWidth="1"/>
  </cols>
  <sheetData>
    <row r="1" spans="1:36" ht="15.75" thickBot="1">
      <c r="E1" s="814"/>
    </row>
    <row r="2" spans="1:36" ht="15.75" thickBot="1">
      <c r="A2" s="776"/>
      <c r="B2" s="776"/>
      <c r="C2" s="776"/>
      <c r="D2" s="776"/>
      <c r="E2" s="776" t="s">
        <v>980</v>
      </c>
      <c r="F2" s="777"/>
      <c r="G2" s="776"/>
      <c r="H2" s="776"/>
      <c r="I2" s="775" t="s">
        <v>860</v>
      </c>
      <c r="J2" s="775" t="s">
        <v>859</v>
      </c>
      <c r="K2" s="775" t="s">
        <v>858</v>
      </c>
      <c r="L2" s="775" t="s">
        <v>979</v>
      </c>
      <c r="M2" s="775" t="s">
        <v>861</v>
      </c>
      <c r="N2" s="775"/>
      <c r="O2" s="775" t="s">
        <v>860</v>
      </c>
      <c r="P2" s="775" t="s">
        <v>859</v>
      </c>
      <c r="Q2" s="775" t="s">
        <v>858</v>
      </c>
      <c r="R2" s="776"/>
      <c r="S2" s="813"/>
      <c r="T2" s="776"/>
      <c r="U2" s="776"/>
      <c r="V2" s="776"/>
      <c r="W2" s="776"/>
      <c r="X2" s="776"/>
      <c r="Y2" s="776"/>
      <c r="Z2" s="776"/>
      <c r="AA2" s="776"/>
      <c r="AB2" s="776"/>
      <c r="AC2" s="776"/>
      <c r="AD2" s="776"/>
      <c r="AE2" s="776"/>
    </row>
    <row r="3" spans="1:36" ht="45" customHeight="1" thickBot="1">
      <c r="A3" s="812"/>
      <c r="B3" s="811"/>
      <c r="C3" s="811"/>
      <c r="D3" s="811"/>
      <c r="E3" s="810" t="s">
        <v>978</v>
      </c>
      <c r="F3" s="810"/>
      <c r="G3" s="810"/>
      <c r="H3" s="810"/>
      <c r="I3" s="809">
        <f>VLOOKUP(E3,$B$86:$H$119,7,FALSE)</f>
        <v>34</v>
      </c>
      <c r="J3" s="809">
        <f>VLOOKUP(E3,$K$86:$R$119,8,FALSE)</f>
        <v>25</v>
      </c>
      <c r="K3" s="809">
        <f>VLOOKUP(E3,$T$86:$AA$119,8,FALSE)</f>
        <v>33</v>
      </c>
      <c r="L3" s="808">
        <f>AVERAGE(I3:K3)</f>
        <v>30.666666666666668</v>
      </c>
      <c r="M3" s="807">
        <f>(I3*0.25)+(J3*0.5)+(K3*0.25)</f>
        <v>29.25</v>
      </c>
      <c r="N3" s="769">
        <f t="shared" ref="N3:N34" si="0">IF(M3&lt;$H$140,4,IF(M3&lt;$H$141,3,IF(M3&lt;$H$142,2,1)))</f>
        <v>1</v>
      </c>
      <c r="O3" s="806">
        <v>964.04819999999995</v>
      </c>
      <c r="P3" s="806">
        <v>48.832769999999996</v>
      </c>
      <c r="Q3" s="805">
        <v>0.30432150000000002</v>
      </c>
      <c r="S3" s="778">
        <v>7.32</v>
      </c>
      <c r="AI3" s="782"/>
      <c r="AJ3" s="782"/>
    </row>
    <row r="4" spans="1:36" ht="45" customHeight="1" thickBot="1">
      <c r="A4" s="803"/>
      <c r="B4" s="786"/>
      <c r="C4" s="786"/>
      <c r="D4" s="786"/>
      <c r="E4" s="781" t="s">
        <v>977</v>
      </c>
      <c r="F4" s="781"/>
      <c r="G4" s="781"/>
      <c r="H4" s="781"/>
      <c r="I4" s="802"/>
      <c r="J4" s="802"/>
      <c r="K4" s="802"/>
      <c r="L4" s="801"/>
      <c r="M4" s="800">
        <f>M3+S3</f>
        <v>36.57</v>
      </c>
      <c r="N4" s="769">
        <f t="shared" si="0"/>
        <v>1</v>
      </c>
      <c r="O4" s="799"/>
      <c r="P4" s="799"/>
      <c r="Q4" s="798"/>
      <c r="AI4" s="782"/>
      <c r="AJ4" s="782"/>
    </row>
    <row r="5" spans="1:36" ht="45" customHeight="1" thickBot="1">
      <c r="A5" s="803"/>
      <c r="B5" s="786"/>
      <c r="C5" s="786"/>
      <c r="D5" s="786"/>
      <c r="E5" s="781" t="s">
        <v>976</v>
      </c>
      <c r="F5" s="781"/>
      <c r="G5" s="781"/>
      <c r="H5" s="781"/>
      <c r="I5" s="802">
        <f>VLOOKUP(E5,$B$86:$H$119,7,FALSE)</f>
        <v>29</v>
      </c>
      <c r="J5" s="802">
        <f>VLOOKUP(E5,$K$86:$R$119,8,FALSE)</f>
        <v>23</v>
      </c>
      <c r="K5" s="802">
        <f>VLOOKUP(E5,$T$86:$AA$119,8,FALSE)</f>
        <v>23</v>
      </c>
      <c r="L5" s="801">
        <f>AVERAGE(I5:K5)</f>
        <v>25</v>
      </c>
      <c r="M5" s="800">
        <f>(I5*0.25)+(J5*0.5)+(K5*0.25)</f>
        <v>24.5</v>
      </c>
      <c r="N5" s="769">
        <f t="shared" si="0"/>
        <v>2</v>
      </c>
      <c r="O5" s="799">
        <v>836.46915999999999</v>
      </c>
      <c r="P5" s="799">
        <v>48.201779999999999</v>
      </c>
      <c r="Q5" s="798">
        <v>0.24276951999999999</v>
      </c>
      <c r="AI5" s="782"/>
      <c r="AJ5" s="782"/>
    </row>
    <row r="6" spans="1:36" ht="45" customHeight="1" thickBot="1">
      <c r="A6" s="803"/>
      <c r="B6" s="786"/>
      <c r="C6" s="786"/>
      <c r="D6" s="786"/>
      <c r="E6" s="781" t="s">
        <v>975</v>
      </c>
      <c r="F6" s="781"/>
      <c r="G6" s="781"/>
      <c r="H6" s="781"/>
      <c r="I6" s="802"/>
      <c r="J6" s="802"/>
      <c r="K6" s="802"/>
      <c r="L6" s="801"/>
      <c r="M6" s="800">
        <f>M5+S3</f>
        <v>31.82</v>
      </c>
      <c r="N6" s="769">
        <f t="shared" si="0"/>
        <v>1</v>
      </c>
      <c r="O6" s="799"/>
      <c r="P6" s="799"/>
      <c r="Q6" s="798"/>
      <c r="AI6" s="782"/>
      <c r="AJ6" s="782"/>
    </row>
    <row r="7" spans="1:36" ht="45" customHeight="1" thickBot="1">
      <c r="A7" s="803"/>
      <c r="B7" s="786"/>
      <c r="C7" s="786"/>
      <c r="D7" s="786"/>
      <c r="E7" s="781" t="s">
        <v>974</v>
      </c>
      <c r="F7" s="781"/>
      <c r="G7" s="781"/>
      <c r="H7" s="781"/>
      <c r="I7" s="802">
        <f>VLOOKUP(E7,$B$86:$H$119,7,FALSE)</f>
        <v>18</v>
      </c>
      <c r="J7" s="802">
        <f>VLOOKUP(E7,$K$86:$R$119,8,FALSE)</f>
        <v>16</v>
      </c>
      <c r="K7" s="802">
        <f>VLOOKUP(E7,$T$86:$AA$119,8,FALSE)</f>
        <v>14</v>
      </c>
      <c r="L7" s="801">
        <f>AVERAGE(I7:K7)</f>
        <v>16</v>
      </c>
      <c r="M7" s="800">
        <f>(I7*0.25)+(J7*0.5)+(K7*0.25)</f>
        <v>16</v>
      </c>
      <c r="N7" s="769">
        <f t="shared" si="0"/>
        <v>3</v>
      </c>
      <c r="O7" s="799">
        <v>627.82137</v>
      </c>
      <c r="P7" s="799">
        <v>32.4569124</v>
      </c>
      <c r="Q7" s="798">
        <v>0.2005344</v>
      </c>
      <c r="AI7" s="782"/>
      <c r="AJ7" s="782"/>
    </row>
    <row r="8" spans="1:36" ht="45" customHeight="1" thickBot="1">
      <c r="A8" s="803"/>
      <c r="B8" s="786"/>
      <c r="C8" s="786"/>
      <c r="D8" s="786"/>
      <c r="E8" s="781" t="s">
        <v>973</v>
      </c>
      <c r="F8" s="781"/>
      <c r="G8" s="781"/>
      <c r="H8" s="781"/>
      <c r="I8" s="802"/>
      <c r="J8" s="802"/>
      <c r="K8" s="802"/>
      <c r="L8" s="801"/>
      <c r="M8" s="800">
        <f>M7+S8</f>
        <v>23.32</v>
      </c>
      <c r="N8" s="769">
        <f t="shared" si="0"/>
        <v>2</v>
      </c>
      <c r="O8" s="799"/>
      <c r="P8" s="799"/>
      <c r="Q8" s="798"/>
      <c r="S8" s="778">
        <v>7.32</v>
      </c>
      <c r="AI8" s="782"/>
      <c r="AJ8" s="782"/>
    </row>
    <row r="9" spans="1:36" ht="45" customHeight="1" thickBot="1">
      <c r="A9" s="803"/>
      <c r="B9" s="786"/>
      <c r="C9" s="786"/>
      <c r="D9" s="786"/>
      <c r="E9" s="781" t="s">
        <v>972</v>
      </c>
      <c r="F9" s="781"/>
      <c r="G9" s="781"/>
      <c r="H9" s="781"/>
      <c r="I9" s="802">
        <f>VLOOKUP(E9,$B$86:$H$119,7,FALSE)</f>
        <v>19</v>
      </c>
      <c r="J9" s="802">
        <f>VLOOKUP(E9,$K$86:$R$119,8,FALSE)</f>
        <v>12</v>
      </c>
      <c r="K9" s="802">
        <f>VLOOKUP(E9,$T$86:$AA$119,8,FALSE)</f>
        <v>18</v>
      </c>
      <c r="L9" s="801">
        <f>AVERAGE(I9:K9)</f>
        <v>16.333333333333332</v>
      </c>
      <c r="M9" s="800">
        <f>(I9*0.25)+(J9*0.5)+(K9*0.25)</f>
        <v>15.25</v>
      </c>
      <c r="N9" s="769">
        <f t="shared" si="0"/>
        <v>3</v>
      </c>
      <c r="O9" s="799">
        <v>628.81027362499992</v>
      </c>
      <c r="P9" s="799">
        <v>3.541833749999995</v>
      </c>
      <c r="Q9" s="798">
        <v>0.216676645</v>
      </c>
      <c r="S9" s="778">
        <v>7.32</v>
      </c>
      <c r="AI9" s="782"/>
      <c r="AJ9" s="782"/>
    </row>
    <row r="10" spans="1:36" ht="45" customHeight="1" thickBot="1">
      <c r="A10" s="803"/>
      <c r="B10" s="786"/>
      <c r="C10" s="786"/>
      <c r="D10" s="786"/>
      <c r="E10" s="781" t="s">
        <v>971</v>
      </c>
      <c r="F10" s="781"/>
      <c r="G10" s="781"/>
      <c r="H10" s="781"/>
      <c r="I10" s="802"/>
      <c r="J10" s="802"/>
      <c r="K10" s="802"/>
      <c r="L10" s="801"/>
      <c r="M10" s="800">
        <f>M9+H138</f>
        <v>22.5625</v>
      </c>
      <c r="N10" s="769">
        <f t="shared" si="0"/>
        <v>2</v>
      </c>
      <c r="O10" s="799"/>
      <c r="P10" s="799"/>
      <c r="Q10" s="798"/>
      <c r="AI10" s="782"/>
      <c r="AJ10" s="782"/>
    </row>
    <row r="11" spans="1:36" ht="45" customHeight="1" thickBot="1">
      <c r="A11" s="803"/>
      <c r="B11" s="786"/>
      <c r="C11" s="786"/>
      <c r="D11" s="786"/>
      <c r="E11" s="781" t="s">
        <v>970</v>
      </c>
      <c r="F11" s="781"/>
      <c r="G11" s="781"/>
      <c r="H11" s="781"/>
      <c r="I11" s="802">
        <f>VLOOKUP(E11,$B$86:$H$119,7,FALSE)</f>
        <v>31</v>
      </c>
      <c r="J11" s="802">
        <f>VLOOKUP(E11,$K$86:$R$119,8,FALSE)</f>
        <v>20</v>
      </c>
      <c r="K11" s="802">
        <f>VLOOKUP(E11,$T$86:$AA$119,8,FALSE)</f>
        <v>31</v>
      </c>
      <c r="L11" s="801">
        <f>AVERAGE(I11:K11)</f>
        <v>27.333333333333332</v>
      </c>
      <c r="M11" s="800">
        <f>(I11*0.25)+(J11*0.5)+(K11*0.25)</f>
        <v>25.5</v>
      </c>
      <c r="N11" s="769">
        <f t="shared" si="0"/>
        <v>2</v>
      </c>
      <c r="O11" s="799">
        <v>925.46987999999999</v>
      </c>
      <c r="P11" s="799">
        <v>40.011077999999998</v>
      </c>
      <c r="Q11" s="798">
        <v>0.28799046</v>
      </c>
      <c r="AI11" s="782"/>
      <c r="AJ11" s="782"/>
    </row>
    <row r="12" spans="1:36" ht="45" customHeight="1" thickBot="1">
      <c r="A12" s="803"/>
      <c r="B12" s="786"/>
      <c r="C12" s="786"/>
      <c r="D12" s="786"/>
      <c r="E12" s="781" t="s">
        <v>969</v>
      </c>
      <c r="F12" s="781"/>
      <c r="G12" s="781"/>
      <c r="H12" s="781"/>
      <c r="I12" s="802">
        <f>VLOOKUP(E12,$B$86:$H$119,7,FALSE)</f>
        <v>26</v>
      </c>
      <c r="J12" s="802">
        <f>VLOOKUP(E12,$K$86:$R$119,8,FALSE)</f>
        <v>19</v>
      </c>
      <c r="K12" s="802">
        <f>VLOOKUP(E12,$T$86:$AA$119,8,FALSE)</f>
        <v>21</v>
      </c>
      <c r="L12" s="801">
        <f>AVERAGE(I12:K12)</f>
        <v>22</v>
      </c>
      <c r="M12" s="800">
        <f>(I12*0.25)+(J12*0.5)+(K12*0.25)</f>
        <v>21.25</v>
      </c>
      <c r="N12" s="769">
        <f t="shared" si="0"/>
        <v>2</v>
      </c>
      <c r="O12" s="799">
        <v>797.89084000000003</v>
      </c>
      <c r="P12" s="799">
        <v>39.380088000000001</v>
      </c>
      <c r="Q12" s="798">
        <v>0.22643848</v>
      </c>
      <c r="AI12" s="782"/>
      <c r="AJ12" s="782"/>
    </row>
    <row r="13" spans="1:36" ht="45" customHeight="1" thickBot="1">
      <c r="A13" s="803"/>
      <c r="B13" s="786"/>
      <c r="C13" s="786"/>
      <c r="D13" s="786"/>
      <c r="E13" s="781" t="s">
        <v>968</v>
      </c>
      <c r="F13" s="781"/>
      <c r="G13" s="781"/>
      <c r="H13" s="781"/>
      <c r="I13" s="802">
        <f>VLOOKUP(E13,$B$86:$H$119,7,FALSE)</f>
        <v>14</v>
      </c>
      <c r="J13" s="802">
        <f>VLOOKUP(E13,$K$86:$R$119,8,FALSE)</f>
        <v>14</v>
      </c>
      <c r="K13" s="802">
        <f>VLOOKUP(E13,$T$86:$AA$119,8,FALSE)</f>
        <v>10</v>
      </c>
      <c r="L13" s="801">
        <f>AVERAGE(I13:K13)</f>
        <v>12.666666666666666</v>
      </c>
      <c r="M13" s="800">
        <f>(I13*0.25)+(J13*0.5)+(K13*0.25)</f>
        <v>13</v>
      </c>
      <c r="N13" s="769">
        <f t="shared" si="0"/>
        <v>3</v>
      </c>
      <c r="O13" s="799">
        <v>589.24305000000004</v>
      </c>
      <c r="P13" s="799">
        <v>23.635220400000001</v>
      </c>
      <c r="Q13" s="798">
        <v>0.18420336000000001</v>
      </c>
      <c r="AI13" s="782"/>
      <c r="AJ13" s="782"/>
    </row>
    <row r="14" spans="1:36" ht="45" customHeight="1" thickBot="1">
      <c r="A14" s="797"/>
      <c r="B14" s="796"/>
      <c r="C14" s="796"/>
      <c r="D14" s="796"/>
      <c r="E14" s="795" t="s">
        <v>967</v>
      </c>
      <c r="F14" s="795"/>
      <c r="G14" s="795"/>
      <c r="H14" s="795"/>
      <c r="I14" s="794">
        <f>VLOOKUP(E14,$B$86:$H$119,7,FALSE)</f>
        <v>15</v>
      </c>
      <c r="J14" s="794">
        <f>VLOOKUP(E14,$K$86:$R$119,8,FALSE)</f>
        <v>11</v>
      </c>
      <c r="K14" s="794">
        <f>VLOOKUP(E14,$T$86:$AA$119,8,FALSE)</f>
        <v>13</v>
      </c>
      <c r="L14" s="793">
        <f>AVERAGE(I14:K14)</f>
        <v>13</v>
      </c>
      <c r="M14" s="792">
        <f>(I14*0.25)+(J14*0.5)+(K14*0.25)</f>
        <v>12.5</v>
      </c>
      <c r="N14" s="769">
        <f t="shared" si="0"/>
        <v>3</v>
      </c>
      <c r="O14" s="791">
        <v>590.23195362499996</v>
      </c>
      <c r="P14" s="791">
        <v>-5.2798582500000037</v>
      </c>
      <c r="Q14" s="790">
        <v>0.20034560500000001</v>
      </c>
      <c r="AI14" s="782"/>
      <c r="AJ14" s="782"/>
    </row>
    <row r="15" spans="1:36" ht="45" customHeight="1" thickBot="1">
      <c r="A15" s="812"/>
      <c r="B15" s="811"/>
      <c r="C15" s="811"/>
      <c r="D15" s="811"/>
      <c r="E15" s="810" t="s">
        <v>966</v>
      </c>
      <c r="F15" s="810"/>
      <c r="G15" s="810"/>
      <c r="H15" s="810"/>
      <c r="I15" s="809">
        <f>VLOOKUP(E15,$B$86:$H$119,7,FALSE)</f>
        <v>22</v>
      </c>
      <c r="J15" s="809">
        <f>VLOOKUP(E15,$K$86:$R$119,8,FALSE)</f>
        <v>10</v>
      </c>
      <c r="K15" s="809">
        <f>VLOOKUP(E15,$T$86:$AA$119,8,FALSE)</f>
        <v>30</v>
      </c>
      <c r="L15" s="808">
        <f>AVERAGE(I15:K15)</f>
        <v>20.666666666666668</v>
      </c>
      <c r="M15" s="807">
        <f>(I15*0.25)+(J15*0.5)+(K15*0.25)</f>
        <v>18</v>
      </c>
      <c r="N15" s="769">
        <f t="shared" si="0"/>
        <v>3</v>
      </c>
      <c r="O15" s="806">
        <v>661.03047848000006</v>
      </c>
      <c r="P15" s="806">
        <v>-8.1008831999999984</v>
      </c>
      <c r="Q15" s="805">
        <v>0.28067277999999996</v>
      </c>
      <c r="S15" s="778">
        <v>7.32</v>
      </c>
      <c r="AI15" s="782"/>
      <c r="AJ15" s="782"/>
    </row>
    <row r="16" spans="1:36" ht="45" customHeight="1" thickBot="1">
      <c r="A16" s="803"/>
      <c r="B16" s="786"/>
      <c r="C16" s="786"/>
      <c r="D16" s="786"/>
      <c r="E16" s="781" t="s">
        <v>965</v>
      </c>
      <c r="F16" s="781"/>
      <c r="G16" s="781"/>
      <c r="H16" s="781"/>
      <c r="I16" s="802"/>
      <c r="J16" s="802"/>
      <c r="K16" s="802"/>
      <c r="L16" s="801"/>
      <c r="M16" s="800">
        <f>M15+S15</f>
        <v>25.32</v>
      </c>
      <c r="N16" s="769">
        <f t="shared" si="0"/>
        <v>2</v>
      </c>
      <c r="O16" s="799"/>
      <c r="P16" s="799"/>
      <c r="Q16" s="798"/>
      <c r="AI16" s="782"/>
      <c r="AJ16" s="782"/>
    </row>
    <row r="17" spans="1:36" ht="45" customHeight="1" thickBot="1">
      <c r="A17" s="803"/>
      <c r="B17" s="786"/>
      <c r="C17" s="786"/>
      <c r="D17" s="786"/>
      <c r="E17" s="781" t="s">
        <v>964</v>
      </c>
      <c r="F17" s="781"/>
      <c r="G17" s="781"/>
      <c r="H17" s="781"/>
      <c r="I17" s="802">
        <f>VLOOKUP(E17,$B$86:$H$119,7,FALSE)</f>
        <v>10</v>
      </c>
      <c r="J17" s="802">
        <f>VLOOKUP(E17,$K$86:$R$119,8,FALSE)</f>
        <v>9</v>
      </c>
      <c r="K17" s="802">
        <f>VLOOKUP(E17,$T$86:$AA$119,8,FALSE)</f>
        <v>19</v>
      </c>
      <c r="L17" s="801">
        <f>AVERAGE(I17:K17)</f>
        <v>12.666666666666666</v>
      </c>
      <c r="M17" s="800">
        <f>(I17*0.25)+(J17*0.5)+(K17*0.25)</f>
        <v>11.75</v>
      </c>
      <c r="N17" s="769">
        <f t="shared" si="0"/>
        <v>3</v>
      </c>
      <c r="O17" s="799">
        <v>533.45143847999998</v>
      </c>
      <c r="P17" s="799">
        <v>-8.731873199999999</v>
      </c>
      <c r="Q17" s="798">
        <v>0.21912079999999998</v>
      </c>
      <c r="AI17" s="782"/>
      <c r="AJ17" s="782"/>
    </row>
    <row r="18" spans="1:36" ht="45" customHeight="1" thickBot="1">
      <c r="A18" s="803"/>
      <c r="B18" s="786"/>
      <c r="C18" s="786"/>
      <c r="D18" s="786"/>
      <c r="E18" s="781" t="s">
        <v>963</v>
      </c>
      <c r="F18" s="781"/>
      <c r="G18" s="781"/>
      <c r="H18" s="781"/>
      <c r="I18" s="802"/>
      <c r="J18" s="802"/>
      <c r="K18" s="802"/>
      <c r="L18" s="801"/>
      <c r="M18" s="800">
        <f>M17+S15</f>
        <v>19.07</v>
      </c>
      <c r="N18" s="769">
        <f t="shared" si="0"/>
        <v>2</v>
      </c>
      <c r="O18" s="799"/>
      <c r="P18" s="799"/>
      <c r="Q18" s="798"/>
      <c r="AI18" s="782"/>
      <c r="AJ18" s="782"/>
    </row>
    <row r="19" spans="1:36" ht="45" customHeight="1" thickBot="1">
      <c r="A19" s="803"/>
      <c r="B19" s="786"/>
      <c r="C19" s="786"/>
      <c r="D19" s="786"/>
      <c r="E19" s="781" t="s">
        <v>962</v>
      </c>
      <c r="F19" s="781"/>
      <c r="G19" s="781"/>
      <c r="H19" s="781"/>
      <c r="I19" s="802">
        <f>VLOOKUP(E19,$B$86:$H$119,7,FALSE)</f>
        <v>3</v>
      </c>
      <c r="J19" s="802">
        <f>VLOOKUP(E19,$K$86:$R$119,8,FALSE)</f>
        <v>6</v>
      </c>
      <c r="K19" s="802">
        <f>VLOOKUP(E19,$T$86:$AA$119,8,FALSE)</f>
        <v>8</v>
      </c>
      <c r="L19" s="801">
        <f>AVERAGE(I19:K19)</f>
        <v>5.666666666666667</v>
      </c>
      <c r="M19" s="800">
        <f>(I19*0.25)+(J19*0.5)+(K19*0.25)</f>
        <v>5.75</v>
      </c>
      <c r="N19" s="769">
        <f t="shared" si="0"/>
        <v>4</v>
      </c>
      <c r="O19" s="799">
        <v>324.80364847999999</v>
      </c>
      <c r="P19" s="799">
        <v>-24.476740799999995</v>
      </c>
      <c r="Q19" s="798">
        <v>0.17688567999999999</v>
      </c>
      <c r="S19" s="778">
        <v>7.32</v>
      </c>
      <c r="AI19" s="782"/>
      <c r="AJ19" s="782"/>
    </row>
    <row r="20" spans="1:36" ht="45" customHeight="1" thickBot="1">
      <c r="A20" s="803"/>
      <c r="B20" s="786"/>
      <c r="C20" s="786"/>
      <c r="D20" s="786"/>
      <c r="E20" s="781" t="s">
        <v>961</v>
      </c>
      <c r="F20" s="781"/>
      <c r="G20" s="781"/>
      <c r="H20" s="781"/>
      <c r="I20" s="802"/>
      <c r="J20" s="802"/>
      <c r="K20" s="802"/>
      <c r="L20" s="801"/>
      <c r="M20" s="800">
        <f>M19+S19</f>
        <v>13.07</v>
      </c>
      <c r="N20" s="769">
        <f t="shared" si="0"/>
        <v>3</v>
      </c>
      <c r="O20" s="799"/>
      <c r="P20" s="799"/>
      <c r="Q20" s="798"/>
      <c r="AI20" s="782"/>
      <c r="AJ20" s="782"/>
    </row>
    <row r="21" spans="1:36" ht="45" customHeight="1" thickBot="1">
      <c r="A21" s="803"/>
      <c r="B21" s="786"/>
      <c r="C21" s="786"/>
      <c r="D21" s="786"/>
      <c r="E21" s="781" t="s">
        <v>960</v>
      </c>
      <c r="F21" s="781"/>
      <c r="G21" s="781"/>
      <c r="H21" s="781"/>
      <c r="I21" s="802">
        <f>VLOOKUP(E21,$B$86:$H$119,7,FALSE)</f>
        <v>4</v>
      </c>
      <c r="J21" s="802">
        <f>VLOOKUP(E21,$K$86:$R$119,8,FALSE)</f>
        <v>4</v>
      </c>
      <c r="K21" s="802">
        <f>VLOOKUP(E21,$T$86:$AA$119,8,FALSE)</f>
        <v>12</v>
      </c>
      <c r="L21" s="801">
        <f>AVERAGE(I21:K21)</f>
        <v>6.666666666666667</v>
      </c>
      <c r="M21" s="800">
        <f>(I21*0.25)+(J21*0.5)+(K21*0.25)</f>
        <v>6</v>
      </c>
      <c r="N21" s="769">
        <f t="shared" si="0"/>
        <v>4</v>
      </c>
      <c r="O21" s="799">
        <v>325.79255210500003</v>
      </c>
      <c r="P21" s="799">
        <v>-53.39181945</v>
      </c>
      <c r="Q21" s="798">
        <v>0.19302792499999999</v>
      </c>
      <c r="S21" s="778">
        <v>7.32</v>
      </c>
      <c r="AI21" s="782"/>
      <c r="AJ21" s="782"/>
    </row>
    <row r="22" spans="1:36" ht="45" customHeight="1" thickBot="1">
      <c r="A22" s="803"/>
      <c r="B22" s="786"/>
      <c r="C22" s="786"/>
      <c r="D22" s="786"/>
      <c r="E22" s="781" t="s">
        <v>959</v>
      </c>
      <c r="F22" s="781"/>
      <c r="G22" s="781"/>
      <c r="H22" s="781"/>
      <c r="I22" s="802"/>
      <c r="J22" s="802"/>
      <c r="K22" s="802"/>
      <c r="L22" s="801"/>
      <c r="M22" s="800">
        <f>M21+S21</f>
        <v>13.32</v>
      </c>
      <c r="N22" s="769">
        <f t="shared" si="0"/>
        <v>3</v>
      </c>
      <c r="O22" s="799"/>
      <c r="P22" s="799"/>
      <c r="Q22" s="798"/>
      <c r="AI22" s="782"/>
      <c r="AJ22" s="782"/>
    </row>
    <row r="23" spans="1:36" ht="45" customHeight="1" thickBot="1">
      <c r="A23" s="803"/>
      <c r="B23" s="786"/>
      <c r="C23" s="786"/>
      <c r="D23" s="786"/>
      <c r="E23" s="781" t="s">
        <v>958</v>
      </c>
      <c r="F23" s="781"/>
      <c r="G23" s="781"/>
      <c r="H23" s="781"/>
      <c r="I23" s="802">
        <f>VLOOKUP(E23,$B$86:$H$119,7,FALSE)</f>
        <v>20</v>
      </c>
      <c r="J23" s="802">
        <f>VLOOKUP(E23,$K$86:$R$119,8,FALSE)</f>
        <v>8</v>
      </c>
      <c r="K23" s="802">
        <f>VLOOKUP(E23,$T$86:$AA$119,8,FALSE)</f>
        <v>29</v>
      </c>
      <c r="L23" s="801">
        <f>AVERAGE(I23:K23)</f>
        <v>19</v>
      </c>
      <c r="M23" s="800">
        <f>(I23*0.25)+(J23*0.5)+(K23*0.25)</f>
        <v>16.25</v>
      </c>
      <c r="N23" s="769">
        <f t="shared" si="0"/>
        <v>3</v>
      </c>
      <c r="O23" s="799">
        <v>648.41503848000002</v>
      </c>
      <c r="P23" s="799">
        <v>-16.034651199999999</v>
      </c>
      <c r="Q23" s="798">
        <v>0.27628598000000004</v>
      </c>
      <c r="S23" s="778">
        <v>7.32</v>
      </c>
      <c r="AI23" s="782"/>
      <c r="AJ23" s="782"/>
    </row>
    <row r="24" spans="1:36" ht="45" customHeight="1" thickBot="1">
      <c r="A24" s="803"/>
      <c r="B24" s="786"/>
      <c r="C24" s="786"/>
      <c r="D24" s="786"/>
      <c r="E24" s="781" t="s">
        <v>957</v>
      </c>
      <c r="F24" s="781"/>
      <c r="G24" s="781"/>
      <c r="H24" s="781"/>
      <c r="I24" s="802"/>
      <c r="J24" s="802"/>
      <c r="K24" s="802"/>
      <c r="L24" s="801"/>
      <c r="M24" s="800">
        <f>M23</f>
        <v>16.25</v>
      </c>
      <c r="N24" s="769">
        <f t="shared" si="0"/>
        <v>3</v>
      </c>
      <c r="O24" s="799"/>
      <c r="P24" s="799"/>
      <c r="Q24" s="798"/>
      <c r="AI24" s="782"/>
      <c r="AJ24" s="782"/>
    </row>
    <row r="25" spans="1:36" ht="45" customHeight="1" thickBot="1">
      <c r="A25" s="803" t="s">
        <v>951</v>
      </c>
      <c r="B25" s="786"/>
      <c r="C25" s="786"/>
      <c r="D25" s="786"/>
      <c r="E25" s="781" t="s">
        <v>956</v>
      </c>
      <c r="F25" s="781"/>
      <c r="G25" s="781"/>
      <c r="H25" s="781"/>
      <c r="I25" s="802">
        <f>VLOOKUP(E25,$B$86:$H$119,7,FALSE)</f>
        <v>9</v>
      </c>
      <c r="J25" s="802">
        <f>VLOOKUP(E25,$K$86:$R$119,8,FALSE)</f>
        <v>7</v>
      </c>
      <c r="K25" s="802">
        <f>VLOOKUP(E25,$T$86:$AA$119,8,FALSE)</f>
        <v>17</v>
      </c>
      <c r="L25" s="801">
        <f>AVERAGE(I25:K25)</f>
        <v>11</v>
      </c>
      <c r="M25" s="800">
        <f>(I25*0.25)+(J25*0.5)+(K25*0.25)</f>
        <v>10</v>
      </c>
      <c r="N25" s="769">
        <f t="shared" si="0"/>
        <v>4</v>
      </c>
      <c r="O25" s="799">
        <v>520.83599848000006</v>
      </c>
      <c r="P25" s="799">
        <v>-16.6656412</v>
      </c>
      <c r="Q25" s="798">
        <v>0.21473400000000001</v>
      </c>
      <c r="AI25" s="782"/>
      <c r="AJ25" s="782"/>
    </row>
    <row r="26" spans="1:36" ht="45" customHeight="1" thickBot="1">
      <c r="A26" s="803"/>
      <c r="B26" s="786"/>
      <c r="C26" s="786"/>
      <c r="D26" s="786"/>
      <c r="E26" s="781" t="s">
        <v>955</v>
      </c>
      <c r="F26" s="781"/>
      <c r="G26" s="781"/>
      <c r="H26" s="781"/>
      <c r="I26" s="802"/>
      <c r="J26" s="802"/>
      <c r="K26" s="802"/>
      <c r="L26" s="801"/>
      <c r="M26" s="800">
        <f>M25</f>
        <v>10</v>
      </c>
      <c r="N26" s="769">
        <f t="shared" si="0"/>
        <v>4</v>
      </c>
      <c r="O26" s="799"/>
      <c r="P26" s="799"/>
      <c r="Q26" s="798"/>
      <c r="AI26" s="782"/>
      <c r="AJ26" s="782"/>
    </row>
    <row r="27" spans="1:36" ht="45" customHeight="1" thickBot="1">
      <c r="A27" s="803"/>
      <c r="B27" s="786"/>
      <c r="C27" s="786"/>
      <c r="D27" s="786"/>
      <c r="E27" s="781" t="s">
        <v>954</v>
      </c>
      <c r="F27" s="781"/>
      <c r="G27" s="781"/>
      <c r="H27" s="781"/>
      <c r="I27" s="802">
        <f>VLOOKUP(E27,$B$86:$H$119,7,FALSE)</f>
        <v>1</v>
      </c>
      <c r="J27" s="802">
        <f>VLOOKUP(E27,$K$86:$R$119,8,FALSE)</f>
        <v>5</v>
      </c>
      <c r="K27" s="802">
        <f>VLOOKUP(E27,$T$86:$AA$119,8,FALSE)</f>
        <v>7</v>
      </c>
      <c r="L27" s="801">
        <f>AVERAGE(I27:K27)</f>
        <v>4.333333333333333</v>
      </c>
      <c r="M27" s="800">
        <f>(I27*0.25)+(J27*0.5)+(K27*0.25)</f>
        <v>4.5</v>
      </c>
      <c r="N27" s="769">
        <f t="shared" si="0"/>
        <v>4</v>
      </c>
      <c r="O27" s="799">
        <v>312.18820848000001</v>
      </c>
      <c r="P27" s="799">
        <v>-32.410508799999995</v>
      </c>
      <c r="Q27" s="798">
        <v>0.17249888000000002</v>
      </c>
      <c r="AI27" s="782"/>
      <c r="AJ27" s="782"/>
    </row>
    <row r="28" spans="1:36" ht="45" customHeight="1" thickBot="1">
      <c r="A28" s="803"/>
      <c r="B28" s="786"/>
      <c r="C28" s="786"/>
      <c r="D28" s="786"/>
      <c r="E28" s="781" t="s">
        <v>953</v>
      </c>
      <c r="F28" s="781"/>
      <c r="G28" s="781"/>
      <c r="H28" s="781"/>
      <c r="I28" s="802"/>
      <c r="J28" s="802"/>
      <c r="K28" s="802"/>
      <c r="L28" s="801"/>
      <c r="M28" s="800"/>
      <c r="N28" s="769">
        <f t="shared" si="0"/>
        <v>4</v>
      </c>
      <c r="O28" s="799"/>
      <c r="P28" s="799"/>
      <c r="Q28" s="798"/>
      <c r="AI28" s="782"/>
      <c r="AJ28" s="782"/>
    </row>
    <row r="29" spans="1:36" ht="45" customHeight="1" thickBot="1">
      <c r="A29" s="803"/>
      <c r="B29" s="786"/>
      <c r="C29" s="786"/>
      <c r="D29" s="786"/>
      <c r="E29" s="781" t="s">
        <v>952</v>
      </c>
      <c r="F29" s="781"/>
      <c r="G29" s="781"/>
      <c r="H29" s="781"/>
      <c r="I29" s="802"/>
      <c r="J29" s="802"/>
      <c r="K29" s="802"/>
      <c r="L29" s="801"/>
      <c r="M29" s="800"/>
      <c r="N29" s="769">
        <f t="shared" si="0"/>
        <v>4</v>
      </c>
      <c r="O29" s="799"/>
      <c r="P29" s="799"/>
      <c r="Q29" s="798"/>
      <c r="AI29" s="782"/>
      <c r="AJ29" s="782"/>
    </row>
    <row r="30" spans="1:36" ht="45" customHeight="1" thickBot="1">
      <c r="A30" s="797" t="s">
        <v>951</v>
      </c>
      <c r="B30" s="796"/>
      <c r="C30" s="796"/>
      <c r="D30" s="796"/>
      <c r="E30" s="795" t="s">
        <v>950</v>
      </c>
      <c r="F30" s="795"/>
      <c r="G30" s="795"/>
      <c r="H30" s="795"/>
      <c r="I30" s="794">
        <f>VLOOKUP(E30,$B$86:$H$119,7,FALSE)</f>
        <v>2</v>
      </c>
      <c r="J30" s="794">
        <f>VLOOKUP(E30,$K$86:$R$119,8,FALSE)</f>
        <v>2</v>
      </c>
      <c r="K30" s="794">
        <f>VLOOKUP(E30,$T$86:$AA$119,8,FALSE)</f>
        <v>11</v>
      </c>
      <c r="L30" s="793">
        <f>AVERAGE(I30:K30)</f>
        <v>5</v>
      </c>
      <c r="M30" s="792">
        <f>(I30*0.25)+(J30*0.5)+(K30*0.25)</f>
        <v>4.25</v>
      </c>
      <c r="N30" s="769">
        <f t="shared" si="0"/>
        <v>4</v>
      </c>
      <c r="O30" s="791">
        <v>313.17711210499999</v>
      </c>
      <c r="P30" s="791">
        <v>-61.32558745</v>
      </c>
      <c r="Q30" s="790">
        <v>0.18864112500000002</v>
      </c>
      <c r="AI30" s="782"/>
      <c r="AJ30" s="782"/>
    </row>
    <row r="31" spans="1:36" ht="48.75" customHeight="1" thickBot="1">
      <c r="A31" s="803"/>
      <c r="B31" s="786"/>
      <c r="C31" s="786"/>
      <c r="D31" s="786"/>
      <c r="E31" s="781" t="s">
        <v>898</v>
      </c>
      <c r="F31" s="781"/>
      <c r="G31" s="781"/>
      <c r="H31" s="781"/>
      <c r="I31" s="802">
        <f>VLOOKUP(E31,$B$86:$H$119,7,FALSE)</f>
        <v>23</v>
      </c>
      <c r="J31" s="802">
        <f>VLOOKUP(E31,$K$86:$R$119,8,FALSE)</f>
        <v>29</v>
      </c>
      <c r="K31" s="802">
        <f>VLOOKUP(E31,$T$86:$AA$119,8,FALSE)</f>
        <v>26</v>
      </c>
      <c r="L31" s="801">
        <f>AVERAGE(I31:K31)</f>
        <v>26</v>
      </c>
      <c r="M31" s="800">
        <f>(I31*0.25)+(J31*0.5)+(K31*0.25)</f>
        <v>26.75</v>
      </c>
      <c r="N31" s="769">
        <f t="shared" si="0"/>
        <v>1</v>
      </c>
      <c r="O31" s="799">
        <v>694.32998399999997</v>
      </c>
      <c r="P31" s="799">
        <v>68.313600000000008</v>
      </c>
      <c r="Q31" s="798">
        <v>0.26342399999999999</v>
      </c>
      <c r="S31" s="778">
        <v>7.32</v>
      </c>
      <c r="AI31" s="782"/>
      <c r="AJ31" s="782"/>
    </row>
    <row r="32" spans="1:36" ht="48.75" customHeight="1" thickBot="1">
      <c r="A32" s="803"/>
      <c r="B32" s="786"/>
      <c r="C32" s="786"/>
      <c r="D32" s="786"/>
      <c r="E32" s="781" t="s">
        <v>949</v>
      </c>
      <c r="F32" s="781"/>
      <c r="G32" s="781"/>
      <c r="H32" s="781"/>
      <c r="I32" s="802"/>
      <c r="J32" s="802"/>
      <c r="K32" s="802"/>
      <c r="L32" s="801"/>
      <c r="M32" s="800">
        <f>M31-5</f>
        <v>21.75</v>
      </c>
      <c r="N32" s="769">
        <f t="shared" si="0"/>
        <v>2</v>
      </c>
      <c r="O32" s="799"/>
      <c r="P32" s="799"/>
      <c r="Q32" s="798"/>
      <c r="AI32" s="782"/>
      <c r="AJ32" s="782"/>
    </row>
    <row r="33" spans="1:36" ht="48.75" customHeight="1" thickBot="1">
      <c r="A33" s="803"/>
      <c r="B33" s="786"/>
      <c r="C33" s="786"/>
      <c r="D33" s="786"/>
      <c r="E33" s="781" t="s">
        <v>948</v>
      </c>
      <c r="F33" s="781"/>
      <c r="G33" s="781"/>
      <c r="H33" s="781"/>
      <c r="I33" s="802"/>
      <c r="J33" s="802"/>
      <c r="K33" s="802"/>
      <c r="L33" s="801"/>
      <c r="M33" s="800">
        <f>M31</f>
        <v>26.75</v>
      </c>
      <c r="N33" s="769">
        <f t="shared" si="0"/>
        <v>1</v>
      </c>
      <c r="O33" s="799"/>
      <c r="P33" s="799"/>
      <c r="Q33" s="798"/>
      <c r="AI33" s="782"/>
      <c r="AJ33" s="782"/>
    </row>
    <row r="34" spans="1:36" ht="48.75" customHeight="1" thickBot="1">
      <c r="A34" s="803"/>
      <c r="B34" s="786"/>
      <c r="C34" s="786"/>
      <c r="D34" s="786"/>
      <c r="E34" s="781" t="s">
        <v>947</v>
      </c>
      <c r="F34" s="781"/>
      <c r="G34" s="781"/>
      <c r="H34" s="781"/>
      <c r="I34" s="802"/>
      <c r="J34" s="802"/>
      <c r="K34" s="802"/>
      <c r="L34" s="801"/>
      <c r="M34" s="800">
        <f>M31-S31</f>
        <v>19.43</v>
      </c>
      <c r="N34" s="769">
        <f t="shared" si="0"/>
        <v>2</v>
      </c>
      <c r="O34" s="799"/>
      <c r="P34" s="799"/>
      <c r="Q34" s="798"/>
      <c r="AI34" s="782"/>
      <c r="AJ34" s="782"/>
    </row>
    <row r="35" spans="1:36" ht="48.75" customHeight="1" thickBot="1">
      <c r="A35" s="803"/>
      <c r="B35" s="786"/>
      <c r="C35" s="786"/>
      <c r="D35" s="786"/>
      <c r="E35" s="781" t="s">
        <v>897</v>
      </c>
      <c r="F35" s="781"/>
      <c r="G35" s="781"/>
      <c r="H35" s="781"/>
      <c r="I35" s="802">
        <f>VLOOKUP(E35,$B$86:$H$119,7,FALSE)</f>
        <v>33</v>
      </c>
      <c r="J35" s="802">
        <f>VLOOKUP(E35,$K$86:$R$119,8,FALSE)</f>
        <v>22</v>
      </c>
      <c r="K35" s="802">
        <f>VLOOKUP(E35,$T$86:$AA$119,8,FALSE)</f>
        <v>28</v>
      </c>
      <c r="L35" s="801">
        <f>AVERAGE(I35:K35)</f>
        <v>27.666666666666668</v>
      </c>
      <c r="M35" s="800">
        <f>(I35*0.25)+(J35*0.5)+(K35*0.25)</f>
        <v>26.25</v>
      </c>
      <c r="N35" s="769">
        <f t="shared" ref="N35:N66" si="1">IF(M35&lt;$H$140,4,IF(M35&lt;$H$141,3,IF(M35&lt;$H$142,2,1)))</f>
        <v>1</v>
      </c>
      <c r="O35" s="799">
        <v>944.26319999999998</v>
      </c>
      <c r="P35" s="799">
        <v>42.534619999999997</v>
      </c>
      <c r="Q35" s="798">
        <v>0.26942699999999997</v>
      </c>
      <c r="AI35" s="782"/>
      <c r="AJ35" s="782"/>
    </row>
    <row r="36" spans="1:36" ht="48.75" customHeight="1" thickBot="1">
      <c r="A36" s="803"/>
      <c r="B36" s="786"/>
      <c r="C36" s="786"/>
      <c r="D36" s="786"/>
      <c r="E36" s="781" t="s">
        <v>946</v>
      </c>
      <c r="F36" s="781"/>
      <c r="G36" s="781"/>
      <c r="H36" s="781"/>
      <c r="I36" s="802"/>
      <c r="J36" s="802"/>
      <c r="K36" s="802"/>
      <c r="L36" s="801"/>
      <c r="M36" s="800">
        <f>M35</f>
        <v>26.25</v>
      </c>
      <c r="N36" s="769">
        <f t="shared" si="1"/>
        <v>1</v>
      </c>
      <c r="O36" s="799"/>
      <c r="P36" s="799"/>
      <c r="Q36" s="798"/>
      <c r="AI36" s="782"/>
      <c r="AJ36" s="782"/>
    </row>
    <row r="37" spans="1:36" ht="48.75" customHeight="1" thickBot="1">
      <c r="A37" s="803"/>
      <c r="B37" s="786"/>
      <c r="C37" s="786"/>
      <c r="D37" s="786"/>
      <c r="E37" s="781" t="s">
        <v>900</v>
      </c>
      <c r="F37" s="781"/>
      <c r="G37" s="781"/>
      <c r="H37" s="781"/>
      <c r="I37" s="802">
        <f>VLOOKUP(E37,$B$86:$H$119,7,FALSE)</f>
        <v>21</v>
      </c>
      <c r="J37" s="802">
        <f>VLOOKUP(E37,$K$86:$R$119,8,FALSE)</f>
        <v>18</v>
      </c>
      <c r="K37" s="802">
        <f>VLOOKUP(E37,$T$86:$AA$119,8,FALSE)</f>
        <v>15</v>
      </c>
      <c r="L37" s="801">
        <f>AVERAGE(I37:K37)</f>
        <v>18</v>
      </c>
      <c r="M37" s="800">
        <f>(I37*0.25)+(J37*0.5)+(K37*0.25)</f>
        <v>18</v>
      </c>
      <c r="N37" s="769">
        <f t="shared" si="1"/>
        <v>3</v>
      </c>
      <c r="O37" s="799">
        <v>648.94695000000002</v>
      </c>
      <c r="P37" s="799">
        <v>33.35622</v>
      </c>
      <c r="Q37" s="798">
        <v>0.20816775000000001</v>
      </c>
      <c r="S37" s="778">
        <v>7.32</v>
      </c>
      <c r="AI37" s="782"/>
      <c r="AJ37" s="782"/>
    </row>
    <row r="38" spans="1:36" ht="48.75" customHeight="1" thickBot="1">
      <c r="A38" s="803"/>
      <c r="B38" s="786"/>
      <c r="C38" s="786"/>
      <c r="D38" s="786"/>
      <c r="E38" s="781" t="s">
        <v>945</v>
      </c>
      <c r="F38" s="781"/>
      <c r="G38" s="781"/>
      <c r="H38" s="781"/>
      <c r="I38" s="802"/>
      <c r="J38" s="802"/>
      <c r="K38" s="802"/>
      <c r="L38" s="801"/>
      <c r="M38" s="800">
        <f>M37-S37</f>
        <v>10.68</v>
      </c>
      <c r="N38" s="769">
        <f t="shared" si="1"/>
        <v>4</v>
      </c>
      <c r="O38" s="799"/>
      <c r="P38" s="799"/>
      <c r="Q38" s="798"/>
      <c r="AI38" s="782"/>
      <c r="AJ38" s="782"/>
    </row>
    <row r="39" spans="1:36" ht="48.75" customHeight="1" thickBot="1">
      <c r="A39" s="803"/>
      <c r="B39" s="786"/>
      <c r="C39" s="786"/>
      <c r="D39" s="786"/>
      <c r="E39" s="781" t="s">
        <v>901</v>
      </c>
      <c r="F39" s="781"/>
      <c r="G39" s="781"/>
      <c r="H39" s="781"/>
      <c r="I39" s="802">
        <f>VLOOKUP(E39,$B$86:$H$119,7,FALSE)</f>
        <v>5</v>
      </c>
      <c r="J39" s="802">
        <f>VLOOKUP(E39,$K$86:$R$119,8,FALSE)</f>
        <v>3</v>
      </c>
      <c r="K39" s="802">
        <f>VLOOKUP(E39,$T$86:$AA$119,8,FALSE)</f>
        <v>16</v>
      </c>
      <c r="L39" s="801">
        <f>AVERAGE(I39:K39)</f>
        <v>8</v>
      </c>
      <c r="M39" s="800">
        <f>(I39*0.25)+(J39*0.5)+(K39*0.25)</f>
        <v>6.75</v>
      </c>
      <c r="N39" s="769">
        <f t="shared" si="1"/>
        <v>4</v>
      </c>
      <c r="O39" s="799">
        <v>454.15841049999995</v>
      </c>
      <c r="P39" s="799">
        <v>-59.01264350000001</v>
      </c>
      <c r="Q39" s="798">
        <v>0.20841626999999999</v>
      </c>
      <c r="S39" s="778">
        <v>7.32</v>
      </c>
      <c r="AI39" s="782"/>
      <c r="AJ39" s="782"/>
    </row>
    <row r="40" spans="1:36" ht="48.75" customHeight="1" thickBot="1">
      <c r="A40" s="803"/>
      <c r="B40" s="786"/>
      <c r="C40" s="786"/>
      <c r="D40" s="786"/>
      <c r="E40" s="781" t="s">
        <v>899</v>
      </c>
      <c r="F40" s="781"/>
      <c r="G40" s="781"/>
      <c r="H40" s="781"/>
      <c r="I40" s="802">
        <f>VLOOKUP(E40,$B$86:$H$119,7,FALSE)</f>
        <v>11</v>
      </c>
      <c r="J40" s="802">
        <f>VLOOKUP(E40,$K$86:$R$119,8,FALSE)</f>
        <v>1</v>
      </c>
      <c r="K40" s="802">
        <f>VLOOKUP(E40,$T$86:$AA$119,8,FALSE)</f>
        <v>22</v>
      </c>
      <c r="L40" s="801">
        <f>AVERAGE(I40:K40)</f>
        <v>11.333333333333334</v>
      </c>
      <c r="M40" s="800">
        <f>(I40*0.25)+(J40*0.5)+(K40*0.25)</f>
        <v>8.75</v>
      </c>
      <c r="N40" s="769">
        <f t="shared" si="1"/>
        <v>4</v>
      </c>
      <c r="O40" s="799">
        <v>555.65841049999995</v>
      </c>
      <c r="P40" s="799">
        <v>-64.345443500000002</v>
      </c>
      <c r="Q40" s="798">
        <v>0.23996426999999998</v>
      </c>
      <c r="AI40" s="782"/>
      <c r="AJ40" s="782"/>
    </row>
    <row r="41" spans="1:36" ht="48.75" customHeight="1" thickBot="1">
      <c r="A41" s="803"/>
      <c r="B41" s="786"/>
      <c r="C41" s="786"/>
      <c r="D41" s="786"/>
      <c r="E41" s="781" t="s">
        <v>944</v>
      </c>
      <c r="F41" s="781"/>
      <c r="G41" s="781"/>
      <c r="H41" s="781"/>
      <c r="I41" s="802"/>
      <c r="J41" s="802"/>
      <c r="K41" s="802"/>
      <c r="L41" s="801"/>
      <c r="M41" s="800">
        <f>M39-3</f>
        <v>3.75</v>
      </c>
      <c r="N41" s="769">
        <f t="shared" si="1"/>
        <v>4</v>
      </c>
      <c r="O41" s="799"/>
      <c r="P41" s="799"/>
      <c r="Q41" s="798"/>
      <c r="AI41" s="782"/>
      <c r="AJ41" s="782"/>
    </row>
    <row r="42" spans="1:36" ht="48.75" customHeight="1" thickBot="1">
      <c r="A42" s="803"/>
      <c r="B42" s="786"/>
      <c r="C42" s="786"/>
      <c r="D42" s="786"/>
      <c r="E42" s="781" t="s">
        <v>943</v>
      </c>
      <c r="F42" s="781"/>
      <c r="G42" s="781"/>
      <c r="H42" s="781"/>
      <c r="I42" s="802"/>
      <c r="J42" s="802"/>
      <c r="K42" s="802"/>
      <c r="L42" s="801"/>
      <c r="M42" s="800">
        <f>M39+S39</f>
        <v>14.07</v>
      </c>
      <c r="N42" s="769">
        <f t="shared" si="1"/>
        <v>3</v>
      </c>
      <c r="O42" s="799"/>
      <c r="P42" s="799"/>
      <c r="Q42" s="798"/>
      <c r="AI42" s="782"/>
      <c r="AJ42" s="782"/>
    </row>
    <row r="43" spans="1:36" ht="48.75" customHeight="1" thickBot="1">
      <c r="A43" s="812"/>
      <c r="B43" s="811"/>
      <c r="C43" s="811"/>
      <c r="D43" s="811"/>
      <c r="E43" s="810" t="s">
        <v>942</v>
      </c>
      <c r="F43" s="810"/>
      <c r="G43" s="810"/>
      <c r="H43" s="810"/>
      <c r="I43" s="809">
        <f>VLOOKUP(E43,$B$86:$H$119,7,FALSE)</f>
        <v>32</v>
      </c>
      <c r="J43" s="809">
        <f>VLOOKUP(E43,$K$86:$R$119,8,FALSE)</f>
        <v>34</v>
      </c>
      <c r="K43" s="809">
        <f>VLOOKUP(E43,$T$86:$AA$119,8,FALSE)</f>
        <v>34</v>
      </c>
      <c r="L43" s="808">
        <f>AVERAGE(I43:K43)</f>
        <v>33.333333333333336</v>
      </c>
      <c r="M43" s="807">
        <f>(I43*0.25)+(J43*0.5)+(K43*0.25)</f>
        <v>33.5</v>
      </c>
      <c r="N43" s="769">
        <f t="shared" si="1"/>
        <v>1</v>
      </c>
      <c r="O43" s="806">
        <v>928.04720800000007</v>
      </c>
      <c r="P43" s="806">
        <v>85.400109999999998</v>
      </c>
      <c r="Q43" s="805">
        <v>0.35682749999999996</v>
      </c>
      <c r="AI43" s="782"/>
      <c r="AJ43" s="782"/>
    </row>
    <row r="44" spans="1:36" ht="48.75" customHeight="1" thickBot="1">
      <c r="A44" s="803"/>
      <c r="B44" s="786"/>
      <c r="C44" s="786"/>
      <c r="D44" s="786"/>
      <c r="E44" s="781" t="s">
        <v>941</v>
      </c>
      <c r="F44" s="781"/>
      <c r="G44" s="781"/>
      <c r="H44" s="781"/>
      <c r="I44" s="802"/>
      <c r="J44" s="802"/>
      <c r="K44" s="802"/>
      <c r="L44" s="801"/>
      <c r="M44" s="800">
        <f>M43-S44</f>
        <v>26.18</v>
      </c>
      <c r="N44" s="769">
        <f t="shared" si="1"/>
        <v>2</v>
      </c>
      <c r="O44" s="799"/>
      <c r="P44" s="799"/>
      <c r="Q44" s="798"/>
      <c r="S44" s="804">
        <v>7.32</v>
      </c>
      <c r="AI44" s="782"/>
      <c r="AJ44" s="782"/>
    </row>
    <row r="45" spans="1:36" ht="48.75" customHeight="1" thickBot="1">
      <c r="A45" s="803"/>
      <c r="B45" s="786"/>
      <c r="C45" s="786"/>
      <c r="D45" s="786"/>
      <c r="E45" s="781" t="s">
        <v>940</v>
      </c>
      <c r="F45" s="781"/>
      <c r="G45" s="781"/>
      <c r="H45" s="781"/>
      <c r="I45" s="802"/>
      <c r="J45" s="802"/>
      <c r="K45" s="802"/>
      <c r="L45" s="801"/>
      <c r="M45" s="800">
        <f>M43+S44</f>
        <v>40.82</v>
      </c>
      <c r="N45" s="769">
        <f t="shared" si="1"/>
        <v>1</v>
      </c>
      <c r="O45" s="799"/>
      <c r="P45" s="799"/>
      <c r="Q45" s="798"/>
      <c r="S45" s="804"/>
      <c r="AI45" s="782"/>
      <c r="AJ45" s="782"/>
    </row>
    <row r="46" spans="1:36" ht="48.75" customHeight="1" thickBot="1">
      <c r="A46" s="803"/>
      <c r="B46" s="786"/>
      <c r="C46" s="786"/>
      <c r="D46" s="786"/>
      <c r="E46" s="781" t="s">
        <v>939</v>
      </c>
      <c r="F46" s="781"/>
      <c r="G46" s="781"/>
      <c r="H46" s="781"/>
      <c r="I46" s="802">
        <f>VLOOKUP(E46,$B$86:$H$119,7,FALSE)</f>
        <v>27</v>
      </c>
      <c r="J46" s="802">
        <f>VLOOKUP(E46,$K$86:$R$119,8,FALSE)</f>
        <v>33</v>
      </c>
      <c r="K46" s="802">
        <f>VLOOKUP(E46,$T$86:$AA$119,8,FALSE)</f>
        <v>32</v>
      </c>
      <c r="L46" s="801">
        <f>AVERAGE(I46:K46)</f>
        <v>30.666666666666668</v>
      </c>
      <c r="M46" s="800">
        <f>(I46*0.25)+(J46*0.5)+(K46*0.25)</f>
        <v>31.25</v>
      </c>
      <c r="N46" s="769">
        <f t="shared" si="1"/>
        <v>1</v>
      </c>
      <c r="O46" s="799">
        <v>800.46816800000011</v>
      </c>
      <c r="P46" s="799">
        <v>84.769120000000001</v>
      </c>
      <c r="Q46" s="798">
        <v>0.29527551999999996</v>
      </c>
      <c r="S46" s="804"/>
      <c r="AI46" s="782"/>
      <c r="AJ46" s="782"/>
    </row>
    <row r="47" spans="1:36" ht="48.75" customHeight="1" thickBot="1">
      <c r="A47" s="803"/>
      <c r="B47" s="786"/>
      <c r="C47" s="786"/>
      <c r="D47" s="786"/>
      <c r="E47" s="781" t="s">
        <v>938</v>
      </c>
      <c r="F47" s="781"/>
      <c r="G47" s="781"/>
      <c r="H47" s="781"/>
      <c r="I47" s="802"/>
      <c r="J47" s="802"/>
      <c r="K47" s="802"/>
      <c r="L47" s="801"/>
      <c r="M47" s="800">
        <f>M46-S44</f>
        <v>23.93</v>
      </c>
      <c r="N47" s="769">
        <f t="shared" si="1"/>
        <v>2</v>
      </c>
      <c r="O47" s="799"/>
      <c r="P47" s="799"/>
      <c r="Q47" s="798"/>
      <c r="S47" s="804"/>
      <c r="AI47" s="782"/>
      <c r="AJ47" s="782"/>
    </row>
    <row r="48" spans="1:36" ht="48.75" customHeight="1" thickBot="1">
      <c r="A48" s="803"/>
      <c r="B48" s="786"/>
      <c r="C48" s="786"/>
      <c r="D48" s="786"/>
      <c r="E48" s="781" t="s">
        <v>937</v>
      </c>
      <c r="F48" s="781"/>
      <c r="G48" s="781"/>
      <c r="H48" s="781"/>
      <c r="I48" s="802"/>
      <c r="J48" s="802"/>
      <c r="K48" s="802"/>
      <c r="L48" s="801"/>
      <c r="M48" s="800">
        <f>M46+S44</f>
        <v>38.57</v>
      </c>
      <c r="N48" s="769">
        <f t="shared" si="1"/>
        <v>1</v>
      </c>
      <c r="O48" s="799"/>
      <c r="P48" s="799"/>
      <c r="Q48" s="798"/>
      <c r="S48" s="804"/>
      <c r="AI48" s="782"/>
      <c r="AJ48" s="782"/>
    </row>
    <row r="49" spans="1:36" ht="48.75" customHeight="1" thickBot="1">
      <c r="A49" s="803"/>
      <c r="B49" s="786"/>
      <c r="C49" s="786"/>
      <c r="D49" s="786"/>
      <c r="E49" s="781" t="s">
        <v>936</v>
      </c>
      <c r="F49" s="781"/>
      <c r="G49" s="781"/>
      <c r="H49" s="781"/>
      <c r="I49" s="802">
        <f>VLOOKUP(E49,$B$86:$H$119,7,FALSE)</f>
        <v>16</v>
      </c>
      <c r="J49" s="802">
        <f>VLOOKUP(E49,$K$86:$R$119,8,FALSE)</f>
        <v>31</v>
      </c>
      <c r="K49" s="802">
        <f>VLOOKUP(E49,$T$86:$AA$119,8,FALSE)</f>
        <v>25</v>
      </c>
      <c r="L49" s="801">
        <f>AVERAGE(I49:K49)</f>
        <v>24</v>
      </c>
      <c r="M49" s="800">
        <f>(I49*0.25)+(J49*0.5)+(K49*0.25)</f>
        <v>25.75</v>
      </c>
      <c r="N49" s="769">
        <f t="shared" si="1"/>
        <v>2</v>
      </c>
      <c r="O49" s="799">
        <v>591.82037800000012</v>
      </c>
      <c r="P49" s="799">
        <v>69.024252399999995</v>
      </c>
      <c r="Q49" s="798">
        <v>0.25304039999999994</v>
      </c>
      <c r="S49" s="804">
        <v>7.32</v>
      </c>
      <c r="AI49" s="782"/>
      <c r="AJ49" s="782"/>
    </row>
    <row r="50" spans="1:36" ht="48.75" customHeight="1" thickBot="1">
      <c r="A50" s="803"/>
      <c r="B50" s="786"/>
      <c r="C50" s="786"/>
      <c r="D50" s="786"/>
      <c r="E50" s="781" t="s">
        <v>935</v>
      </c>
      <c r="F50" s="781"/>
      <c r="G50" s="781"/>
      <c r="H50" s="781"/>
      <c r="I50" s="802"/>
      <c r="J50" s="802"/>
      <c r="K50" s="802"/>
      <c r="L50" s="801"/>
      <c r="M50" s="800">
        <f>M49-S49</f>
        <v>18.43</v>
      </c>
      <c r="N50" s="769">
        <f t="shared" si="1"/>
        <v>3</v>
      </c>
      <c r="O50" s="799"/>
      <c r="P50" s="799"/>
      <c r="Q50" s="798"/>
      <c r="AI50" s="782"/>
      <c r="AJ50" s="782"/>
    </row>
    <row r="51" spans="1:36" ht="48.75" customHeight="1" thickBot="1">
      <c r="A51" s="803"/>
      <c r="B51" s="786"/>
      <c r="C51" s="786"/>
      <c r="D51" s="786"/>
      <c r="E51" s="781" t="s">
        <v>934</v>
      </c>
      <c r="F51" s="781"/>
      <c r="G51" s="781"/>
      <c r="H51" s="781"/>
      <c r="I51" s="802"/>
      <c r="J51" s="802"/>
      <c r="K51" s="802"/>
      <c r="L51" s="801"/>
      <c r="M51" s="800">
        <f>M49+S49</f>
        <v>33.07</v>
      </c>
      <c r="N51" s="769">
        <f t="shared" si="1"/>
        <v>1</v>
      </c>
      <c r="O51" s="799"/>
      <c r="P51" s="799"/>
      <c r="Q51" s="798"/>
      <c r="AI51" s="782"/>
      <c r="AJ51" s="782"/>
    </row>
    <row r="52" spans="1:36" ht="48.75" customHeight="1" thickBot="1">
      <c r="A52" s="803"/>
      <c r="B52" s="786"/>
      <c r="C52" s="786"/>
      <c r="D52" s="786"/>
      <c r="E52" s="781" t="s">
        <v>933</v>
      </c>
      <c r="F52" s="781"/>
      <c r="G52" s="781"/>
      <c r="H52" s="781"/>
      <c r="I52" s="802">
        <f>VLOOKUP(E52,$B$86:$H$119,7,FALSE)</f>
        <v>17</v>
      </c>
      <c r="J52" s="802">
        <f>VLOOKUP(E52,$K$86:$R$119,8,FALSE)</f>
        <v>21</v>
      </c>
      <c r="K52" s="802">
        <f>VLOOKUP(E52,$T$86:$AA$119,8,FALSE)</f>
        <v>27</v>
      </c>
      <c r="L52" s="801">
        <f>AVERAGE(I52:K52)</f>
        <v>21.666666666666668</v>
      </c>
      <c r="M52" s="800">
        <f>(I52*0.25)+(J52*0.5)+(K52*0.25)</f>
        <v>21.5</v>
      </c>
      <c r="N52" s="769">
        <f t="shared" si="1"/>
        <v>2</v>
      </c>
      <c r="O52" s="799">
        <v>592.80928162500004</v>
      </c>
      <c r="P52" s="799">
        <v>40.109173749999997</v>
      </c>
      <c r="Q52" s="798">
        <v>0.26918264499999994</v>
      </c>
      <c r="S52" s="804">
        <v>7.32</v>
      </c>
      <c r="AI52" s="782"/>
      <c r="AJ52" s="782"/>
    </row>
    <row r="53" spans="1:36" ht="48.75" customHeight="1" thickBot="1">
      <c r="A53" s="803"/>
      <c r="B53" s="786"/>
      <c r="C53" s="786"/>
      <c r="D53" s="786"/>
      <c r="E53" s="781" t="s">
        <v>932</v>
      </c>
      <c r="F53" s="781"/>
      <c r="G53" s="781"/>
      <c r="H53" s="781"/>
      <c r="I53" s="802"/>
      <c r="J53" s="802"/>
      <c r="K53" s="802"/>
      <c r="L53" s="801"/>
      <c r="M53" s="800">
        <f>M52-S52</f>
        <v>14.18</v>
      </c>
      <c r="N53" s="769">
        <f t="shared" si="1"/>
        <v>3</v>
      </c>
      <c r="O53" s="799"/>
      <c r="P53" s="799"/>
      <c r="Q53" s="798"/>
      <c r="AI53" s="782"/>
      <c r="AJ53" s="782"/>
    </row>
    <row r="54" spans="1:36" ht="48.75" customHeight="1" thickBot="1">
      <c r="A54" s="803"/>
      <c r="B54" s="786"/>
      <c r="C54" s="786"/>
      <c r="D54" s="786"/>
      <c r="E54" s="781" t="s">
        <v>931</v>
      </c>
      <c r="F54" s="781"/>
      <c r="G54" s="781"/>
      <c r="H54" s="781"/>
      <c r="I54" s="802"/>
      <c r="J54" s="802"/>
      <c r="K54" s="802"/>
      <c r="L54" s="801"/>
      <c r="M54" s="800">
        <f>M52+S52</f>
        <v>28.82</v>
      </c>
      <c r="N54" s="769">
        <f t="shared" si="1"/>
        <v>1</v>
      </c>
      <c r="O54" s="799"/>
      <c r="P54" s="799"/>
      <c r="Q54" s="798"/>
      <c r="AI54" s="782"/>
      <c r="AJ54" s="782"/>
    </row>
    <row r="55" spans="1:36" ht="48.75" customHeight="1" thickBot="1">
      <c r="A55" s="812"/>
      <c r="B55" s="811"/>
      <c r="C55" s="811"/>
      <c r="D55" s="811"/>
      <c r="E55" s="810" t="s">
        <v>930</v>
      </c>
      <c r="F55" s="810"/>
      <c r="G55" s="810"/>
      <c r="H55" s="810"/>
      <c r="I55" s="809"/>
      <c r="J55" s="809"/>
      <c r="K55" s="809"/>
      <c r="L55" s="808"/>
      <c r="M55" s="807">
        <f t="shared" ref="M55:M66" si="2">M43-$S$55</f>
        <v>26.18</v>
      </c>
      <c r="N55" s="769">
        <f t="shared" si="1"/>
        <v>2</v>
      </c>
      <c r="O55" s="806">
        <v>928.04720800000007</v>
      </c>
      <c r="P55" s="806">
        <v>85.400109999999998</v>
      </c>
      <c r="Q55" s="805">
        <v>0.35682749999999996</v>
      </c>
      <c r="S55" s="804">
        <v>7.32</v>
      </c>
      <c r="AI55" s="782"/>
      <c r="AJ55" s="782"/>
    </row>
    <row r="56" spans="1:36" ht="48.75" customHeight="1" thickBot="1">
      <c r="A56" s="803"/>
      <c r="B56" s="786"/>
      <c r="C56" s="786"/>
      <c r="D56" s="786"/>
      <c r="E56" s="781" t="s">
        <v>929</v>
      </c>
      <c r="F56" s="781"/>
      <c r="G56" s="781"/>
      <c r="H56" s="781"/>
      <c r="I56" s="802"/>
      <c r="J56" s="802"/>
      <c r="K56" s="802"/>
      <c r="L56" s="801"/>
      <c r="M56" s="800">
        <f t="shared" si="2"/>
        <v>18.86</v>
      </c>
      <c r="N56" s="769">
        <f t="shared" si="1"/>
        <v>3</v>
      </c>
      <c r="O56" s="799"/>
      <c r="P56" s="799"/>
      <c r="Q56" s="798"/>
      <c r="S56" s="804">
        <v>7.32</v>
      </c>
      <c r="AI56" s="782"/>
      <c r="AJ56" s="782"/>
    </row>
    <row r="57" spans="1:36" ht="48.75" customHeight="1" thickBot="1">
      <c r="A57" s="803"/>
      <c r="B57" s="786"/>
      <c r="C57" s="786"/>
      <c r="D57" s="786"/>
      <c r="E57" s="781" t="s">
        <v>928</v>
      </c>
      <c r="F57" s="781"/>
      <c r="G57" s="781"/>
      <c r="H57" s="781"/>
      <c r="I57" s="802"/>
      <c r="J57" s="802"/>
      <c r="K57" s="802"/>
      <c r="L57" s="801"/>
      <c r="M57" s="800">
        <f t="shared" si="2"/>
        <v>33.5</v>
      </c>
      <c r="N57" s="769">
        <f t="shared" si="1"/>
        <v>1</v>
      </c>
      <c r="O57" s="799"/>
      <c r="P57" s="799"/>
      <c r="Q57" s="798"/>
      <c r="S57" s="804"/>
      <c r="AI57" s="782"/>
      <c r="AJ57" s="782"/>
    </row>
    <row r="58" spans="1:36" ht="48.75" customHeight="1" thickBot="1">
      <c r="A58" s="803"/>
      <c r="B58" s="786"/>
      <c r="C58" s="786"/>
      <c r="D58" s="786"/>
      <c r="E58" s="781" t="s">
        <v>927</v>
      </c>
      <c r="F58" s="781"/>
      <c r="G58" s="781"/>
      <c r="H58" s="781"/>
      <c r="I58" s="802"/>
      <c r="J58" s="802"/>
      <c r="K58" s="802"/>
      <c r="L58" s="801"/>
      <c r="M58" s="800">
        <f t="shared" si="2"/>
        <v>23.93</v>
      </c>
      <c r="N58" s="769">
        <f t="shared" si="1"/>
        <v>2</v>
      </c>
      <c r="O58" s="799">
        <v>800.46816800000011</v>
      </c>
      <c r="P58" s="799">
        <v>84.769120000000001</v>
      </c>
      <c r="Q58" s="798">
        <v>0.29527551999999996</v>
      </c>
      <c r="S58" s="804"/>
      <c r="AI58" s="782"/>
      <c r="AJ58" s="782"/>
    </row>
    <row r="59" spans="1:36" ht="48.75" customHeight="1" thickBot="1">
      <c r="A59" s="803"/>
      <c r="B59" s="786"/>
      <c r="C59" s="786"/>
      <c r="D59" s="786"/>
      <c r="E59" s="781" t="s">
        <v>926</v>
      </c>
      <c r="F59" s="781"/>
      <c r="G59" s="781"/>
      <c r="H59" s="781"/>
      <c r="I59" s="802"/>
      <c r="J59" s="802"/>
      <c r="K59" s="802"/>
      <c r="L59" s="801"/>
      <c r="M59" s="800">
        <f t="shared" si="2"/>
        <v>16.61</v>
      </c>
      <c r="N59" s="769">
        <f t="shared" si="1"/>
        <v>3</v>
      </c>
      <c r="O59" s="799"/>
      <c r="P59" s="799"/>
      <c r="Q59" s="798"/>
      <c r="S59" s="804"/>
      <c r="AI59" s="782"/>
      <c r="AJ59" s="782"/>
    </row>
    <row r="60" spans="1:36" ht="48.75" customHeight="1" thickBot="1">
      <c r="A60" s="803"/>
      <c r="B60" s="786"/>
      <c r="C60" s="786"/>
      <c r="D60" s="786"/>
      <c r="E60" s="781" t="s">
        <v>925</v>
      </c>
      <c r="F60" s="781"/>
      <c r="G60" s="781"/>
      <c r="H60" s="781"/>
      <c r="I60" s="802"/>
      <c r="J60" s="802"/>
      <c r="K60" s="802"/>
      <c r="L60" s="801"/>
      <c r="M60" s="800">
        <f t="shared" si="2"/>
        <v>31.25</v>
      </c>
      <c r="N60" s="769">
        <f t="shared" si="1"/>
        <v>1</v>
      </c>
      <c r="O60" s="799"/>
      <c r="P60" s="799"/>
      <c r="Q60" s="798"/>
      <c r="S60" s="804"/>
      <c r="AI60" s="782"/>
      <c r="AJ60" s="782"/>
    </row>
    <row r="61" spans="1:36" ht="48.75" customHeight="1" thickBot="1">
      <c r="A61" s="803"/>
      <c r="B61" s="786"/>
      <c r="C61" s="786"/>
      <c r="D61" s="786"/>
      <c r="E61" s="781" t="s">
        <v>924</v>
      </c>
      <c r="F61" s="781"/>
      <c r="G61" s="781"/>
      <c r="H61" s="781"/>
      <c r="I61" s="802"/>
      <c r="J61" s="802"/>
      <c r="K61" s="802"/>
      <c r="L61" s="801"/>
      <c r="M61" s="800">
        <f t="shared" si="2"/>
        <v>18.43</v>
      </c>
      <c r="N61" s="769">
        <f t="shared" si="1"/>
        <v>3</v>
      </c>
      <c r="O61" s="799">
        <v>591.82037800000012</v>
      </c>
      <c r="P61" s="799">
        <v>69.024252399999995</v>
      </c>
      <c r="Q61" s="798">
        <v>0.25304039999999994</v>
      </c>
      <c r="S61" s="804">
        <v>7.32</v>
      </c>
      <c r="AI61" s="782"/>
      <c r="AJ61" s="782"/>
    </row>
    <row r="62" spans="1:36" ht="48.75" customHeight="1" thickBot="1">
      <c r="A62" s="803"/>
      <c r="B62" s="786"/>
      <c r="C62" s="786"/>
      <c r="D62" s="786"/>
      <c r="E62" s="781" t="s">
        <v>923</v>
      </c>
      <c r="F62" s="781"/>
      <c r="G62" s="781"/>
      <c r="H62" s="781"/>
      <c r="I62" s="802"/>
      <c r="J62" s="802"/>
      <c r="K62" s="802"/>
      <c r="L62" s="801"/>
      <c r="M62" s="800">
        <f t="shared" si="2"/>
        <v>11.11</v>
      </c>
      <c r="N62" s="769">
        <f t="shared" si="1"/>
        <v>4</v>
      </c>
      <c r="O62" s="799"/>
      <c r="P62" s="799"/>
      <c r="Q62" s="798"/>
      <c r="AI62" s="782"/>
      <c r="AJ62" s="782"/>
    </row>
    <row r="63" spans="1:36" ht="48.75" customHeight="1" thickBot="1">
      <c r="A63" s="803"/>
      <c r="B63" s="786"/>
      <c r="C63" s="786"/>
      <c r="D63" s="786"/>
      <c r="E63" s="781" t="s">
        <v>922</v>
      </c>
      <c r="F63" s="781"/>
      <c r="G63" s="781"/>
      <c r="H63" s="781"/>
      <c r="I63" s="802"/>
      <c r="J63" s="802"/>
      <c r="K63" s="802"/>
      <c r="L63" s="801"/>
      <c r="M63" s="800">
        <f t="shared" si="2"/>
        <v>25.75</v>
      </c>
      <c r="N63" s="769">
        <f t="shared" si="1"/>
        <v>2</v>
      </c>
      <c r="O63" s="799"/>
      <c r="P63" s="799"/>
      <c r="Q63" s="798"/>
      <c r="AI63" s="782"/>
      <c r="AJ63" s="782"/>
    </row>
    <row r="64" spans="1:36" ht="48.75" customHeight="1" thickBot="1">
      <c r="A64" s="803"/>
      <c r="B64" s="786"/>
      <c r="C64" s="786"/>
      <c r="D64" s="786"/>
      <c r="E64" s="781" t="s">
        <v>921</v>
      </c>
      <c r="F64" s="781"/>
      <c r="G64" s="781"/>
      <c r="H64" s="781"/>
      <c r="I64" s="802"/>
      <c r="J64" s="802"/>
      <c r="K64" s="802"/>
      <c r="L64" s="801"/>
      <c r="M64" s="800">
        <f t="shared" si="2"/>
        <v>14.18</v>
      </c>
      <c r="N64" s="769">
        <f t="shared" si="1"/>
        <v>3</v>
      </c>
      <c r="O64" s="799">
        <v>592.80928162500004</v>
      </c>
      <c r="P64" s="799">
        <v>40.109173749999997</v>
      </c>
      <c r="Q64" s="798">
        <v>0.26918264499999994</v>
      </c>
      <c r="S64" s="804">
        <v>7.32</v>
      </c>
      <c r="AI64" s="782"/>
      <c r="AJ64" s="782"/>
    </row>
    <row r="65" spans="1:36" ht="48.75" customHeight="1" thickBot="1">
      <c r="A65" s="803"/>
      <c r="B65" s="786"/>
      <c r="C65" s="786"/>
      <c r="D65" s="786"/>
      <c r="E65" s="781" t="s">
        <v>920</v>
      </c>
      <c r="F65" s="781"/>
      <c r="G65" s="781"/>
      <c r="H65" s="781"/>
      <c r="I65" s="802"/>
      <c r="J65" s="802"/>
      <c r="K65" s="802"/>
      <c r="L65" s="801"/>
      <c r="M65" s="800">
        <f t="shared" si="2"/>
        <v>6.8599999999999994</v>
      </c>
      <c r="N65" s="769">
        <f t="shared" si="1"/>
        <v>4</v>
      </c>
      <c r="O65" s="799"/>
      <c r="P65" s="799"/>
      <c r="Q65" s="798"/>
      <c r="AI65" s="782"/>
      <c r="AJ65" s="782"/>
    </row>
    <row r="66" spans="1:36" ht="48.75" customHeight="1" thickBot="1">
      <c r="A66" s="803"/>
      <c r="B66" s="786"/>
      <c r="C66" s="786"/>
      <c r="D66" s="786"/>
      <c r="E66" s="781" t="s">
        <v>919</v>
      </c>
      <c r="F66" s="781"/>
      <c r="G66" s="781"/>
      <c r="H66" s="781"/>
      <c r="I66" s="802"/>
      <c r="J66" s="802"/>
      <c r="K66" s="802"/>
      <c r="L66" s="801"/>
      <c r="M66" s="800">
        <f t="shared" si="2"/>
        <v>21.5</v>
      </c>
      <c r="N66" s="769">
        <f t="shared" si="1"/>
        <v>2</v>
      </c>
      <c r="O66" s="799"/>
      <c r="P66" s="799"/>
      <c r="Q66" s="798"/>
      <c r="AI66" s="782"/>
      <c r="AJ66" s="782"/>
    </row>
    <row r="67" spans="1:36" ht="96" customHeight="1" thickBot="1">
      <c r="A67" s="803"/>
      <c r="B67" s="786"/>
      <c r="C67" s="786"/>
      <c r="D67" s="786"/>
      <c r="E67" s="781" t="s">
        <v>918</v>
      </c>
      <c r="F67" s="781"/>
      <c r="G67" s="781"/>
      <c r="H67" s="781"/>
      <c r="I67" s="802">
        <f t="shared" ref="I67:I72" si="3">VLOOKUP(E67,$B$86:$H$119,7,FALSE)</f>
        <v>8</v>
      </c>
      <c r="J67" s="802">
        <f t="shared" ref="J67:J72" si="4">VLOOKUP(E67,$K$86:$R$119,8,FALSE)</f>
        <v>27</v>
      </c>
      <c r="K67" s="802">
        <f t="shared" ref="K67:K72" si="5">VLOOKUP(E67,$T$86:$AA$119,8,FALSE)</f>
        <v>1</v>
      </c>
      <c r="L67" s="801">
        <f t="shared" ref="L67:L72" si="6">AVERAGE(I67:K67)</f>
        <v>12</v>
      </c>
      <c r="M67" s="800">
        <f t="shared" ref="M67:M72" si="7">(I67*0.25)+(J67*0.5)+(K67*0.25)</f>
        <v>15.75</v>
      </c>
      <c r="N67" s="769">
        <f t="shared" ref="N67:N83" si="8">IF(M67&lt;$H$140,4,IF(M67&lt;$H$141,3,IF(M67&lt;$H$142,2,1)))</f>
        <v>3</v>
      </c>
      <c r="O67" s="799">
        <v>516</v>
      </c>
      <c r="P67" s="799">
        <v>49.65</v>
      </c>
      <c r="Q67" s="798">
        <v>0.12014999999999999</v>
      </c>
      <c r="AI67" s="782"/>
      <c r="AJ67" s="782"/>
    </row>
    <row r="68" spans="1:36" ht="48.75" customHeight="1" thickBot="1">
      <c r="A68" s="803"/>
      <c r="B68" s="786"/>
      <c r="C68" s="786"/>
      <c r="D68" s="786"/>
      <c r="E68" s="781" t="s">
        <v>917</v>
      </c>
      <c r="F68" s="781"/>
      <c r="G68" s="781"/>
      <c r="H68" s="781"/>
      <c r="I68" s="802">
        <f t="shared" si="3"/>
        <v>30</v>
      </c>
      <c r="J68" s="802">
        <f t="shared" si="4"/>
        <v>32</v>
      </c>
      <c r="K68" s="802">
        <f t="shared" si="5"/>
        <v>24</v>
      </c>
      <c r="L68" s="801">
        <f t="shared" si="6"/>
        <v>28.666666666666668</v>
      </c>
      <c r="M68" s="800">
        <f t="shared" si="7"/>
        <v>29.5</v>
      </c>
      <c r="N68" s="769">
        <f t="shared" si="8"/>
        <v>1</v>
      </c>
      <c r="O68" s="799">
        <v>919.82159999999999</v>
      </c>
      <c r="P68" s="799">
        <v>69.488910000000004</v>
      </c>
      <c r="Q68" s="798">
        <v>0.2434095</v>
      </c>
      <c r="AI68" s="782"/>
      <c r="AJ68" s="782"/>
    </row>
    <row r="69" spans="1:36" ht="48.75" customHeight="1" thickBot="1">
      <c r="A69" s="803"/>
      <c r="B69" s="786"/>
      <c r="C69" s="786"/>
      <c r="D69" s="786"/>
      <c r="E69" s="781" t="s">
        <v>916</v>
      </c>
      <c r="F69" s="781"/>
      <c r="G69" s="781"/>
      <c r="H69" s="781"/>
      <c r="I69" s="802">
        <f t="shared" si="3"/>
        <v>25</v>
      </c>
      <c r="J69" s="802">
        <f t="shared" si="4"/>
        <v>30</v>
      </c>
      <c r="K69" s="802">
        <f t="shared" si="5"/>
        <v>9</v>
      </c>
      <c r="L69" s="801">
        <f t="shared" si="6"/>
        <v>21.333333333333332</v>
      </c>
      <c r="M69" s="800">
        <f t="shared" si="7"/>
        <v>23.5</v>
      </c>
      <c r="N69" s="769">
        <f t="shared" si="8"/>
        <v>2</v>
      </c>
      <c r="O69" s="799">
        <v>792.24256000000003</v>
      </c>
      <c r="P69" s="799">
        <v>68.857919999999993</v>
      </c>
      <c r="Q69" s="798">
        <v>0.18185751999999999</v>
      </c>
      <c r="AI69" s="782"/>
      <c r="AJ69" s="782"/>
    </row>
    <row r="70" spans="1:36" ht="48.75" customHeight="1" thickBot="1">
      <c r="A70" s="803"/>
      <c r="B70" s="786"/>
      <c r="C70" s="786"/>
      <c r="D70" s="786"/>
      <c r="E70" s="781" t="s">
        <v>915</v>
      </c>
      <c r="F70" s="781"/>
      <c r="G70" s="781"/>
      <c r="H70" s="781"/>
      <c r="I70" s="802">
        <f t="shared" si="3"/>
        <v>12</v>
      </c>
      <c r="J70" s="802">
        <f t="shared" si="4"/>
        <v>28</v>
      </c>
      <c r="K70" s="802">
        <f t="shared" si="5"/>
        <v>4</v>
      </c>
      <c r="L70" s="801">
        <f t="shared" si="6"/>
        <v>14.666666666666666</v>
      </c>
      <c r="M70" s="800">
        <f t="shared" si="7"/>
        <v>18</v>
      </c>
      <c r="N70" s="769">
        <f t="shared" si="8"/>
        <v>3</v>
      </c>
      <c r="O70" s="799">
        <v>583.59477000000004</v>
      </c>
      <c r="P70" s="799">
        <v>53.113052400000001</v>
      </c>
      <c r="Q70" s="798">
        <v>0.13962239999999998</v>
      </c>
      <c r="AI70" s="782"/>
      <c r="AJ70" s="782"/>
    </row>
    <row r="71" spans="1:36" ht="48.75" customHeight="1" thickBot="1">
      <c r="A71" s="803"/>
      <c r="B71" s="786"/>
      <c r="C71" s="786"/>
      <c r="D71" s="786"/>
      <c r="E71" s="781" t="s">
        <v>914</v>
      </c>
      <c r="F71" s="781"/>
      <c r="G71" s="781"/>
      <c r="H71" s="781"/>
      <c r="I71" s="802">
        <f t="shared" si="3"/>
        <v>13</v>
      </c>
      <c r="J71" s="802">
        <f t="shared" si="4"/>
        <v>15</v>
      </c>
      <c r="K71" s="802">
        <f t="shared" si="5"/>
        <v>5</v>
      </c>
      <c r="L71" s="801">
        <f t="shared" si="6"/>
        <v>11</v>
      </c>
      <c r="M71" s="800">
        <f t="shared" si="7"/>
        <v>12</v>
      </c>
      <c r="N71" s="769">
        <f t="shared" si="8"/>
        <v>3</v>
      </c>
      <c r="O71" s="799">
        <v>584.58367362499996</v>
      </c>
      <c r="P71" s="799">
        <v>24.197973749999996</v>
      </c>
      <c r="Q71" s="798">
        <v>0.15576464499999998</v>
      </c>
      <c r="AI71" s="782"/>
      <c r="AJ71" s="782"/>
    </row>
    <row r="72" spans="1:36" ht="48.75" customHeight="1" thickBot="1">
      <c r="A72" s="803"/>
      <c r="B72" s="786"/>
      <c r="C72" s="786"/>
      <c r="D72" s="786"/>
      <c r="E72" s="781" t="s">
        <v>913</v>
      </c>
      <c r="F72" s="781"/>
      <c r="G72" s="781"/>
      <c r="H72" s="781"/>
      <c r="I72" s="802">
        <f t="shared" si="3"/>
        <v>28</v>
      </c>
      <c r="J72" s="802">
        <f t="shared" si="4"/>
        <v>26</v>
      </c>
      <c r="K72" s="802">
        <f t="shared" si="5"/>
        <v>20</v>
      </c>
      <c r="L72" s="801">
        <f t="shared" si="6"/>
        <v>24.666666666666668</v>
      </c>
      <c r="M72" s="800">
        <f t="shared" si="7"/>
        <v>25</v>
      </c>
      <c r="N72" s="769">
        <f t="shared" si="8"/>
        <v>2</v>
      </c>
      <c r="O72" s="799">
        <v>822.28140000000008</v>
      </c>
      <c r="P72" s="799">
        <v>49.40643</v>
      </c>
      <c r="Q72" s="798">
        <v>0.22418255999999998</v>
      </c>
      <c r="S72" s="804">
        <v>7.32</v>
      </c>
      <c r="AI72" s="782"/>
      <c r="AJ72" s="782"/>
    </row>
    <row r="73" spans="1:36" ht="48.75" customHeight="1" thickBot="1">
      <c r="A73" s="803"/>
      <c r="B73" s="786"/>
      <c r="C73" s="786"/>
      <c r="D73" s="786"/>
      <c r="E73" s="781" t="s">
        <v>912</v>
      </c>
      <c r="F73" s="781"/>
      <c r="G73" s="781"/>
      <c r="H73" s="781"/>
      <c r="I73" s="802"/>
      <c r="J73" s="802"/>
      <c r="K73" s="802"/>
      <c r="L73" s="801"/>
      <c r="M73" s="800">
        <f>M72-S72</f>
        <v>17.68</v>
      </c>
      <c r="N73" s="769">
        <f t="shared" si="8"/>
        <v>3</v>
      </c>
      <c r="O73" s="799"/>
      <c r="P73" s="799"/>
      <c r="Q73" s="798"/>
      <c r="AI73" s="782"/>
      <c r="AJ73" s="782"/>
    </row>
    <row r="74" spans="1:36" ht="48.75" customHeight="1" thickBot="1">
      <c r="A74" s="803"/>
      <c r="B74" s="786"/>
      <c r="C74" s="786"/>
      <c r="D74" s="786"/>
      <c r="E74" s="781" t="s">
        <v>911</v>
      </c>
      <c r="F74" s="781"/>
      <c r="G74" s="781"/>
      <c r="H74" s="781"/>
      <c r="I74" s="802"/>
      <c r="J74" s="802"/>
      <c r="K74" s="802"/>
      <c r="L74" s="801"/>
      <c r="M74" s="800">
        <f>M72+S72</f>
        <v>32.32</v>
      </c>
      <c r="N74" s="769">
        <f t="shared" si="8"/>
        <v>1</v>
      </c>
      <c r="O74" s="799"/>
      <c r="P74" s="799"/>
      <c r="Q74" s="798"/>
      <c r="AI74" s="782"/>
      <c r="AJ74" s="782"/>
    </row>
    <row r="75" spans="1:36" ht="48.75" customHeight="1" thickBot="1">
      <c r="A75" s="803"/>
      <c r="B75" s="786"/>
      <c r="C75" s="786"/>
      <c r="D75" s="786"/>
      <c r="E75" s="781" t="s">
        <v>910</v>
      </c>
      <c r="F75" s="781"/>
      <c r="G75" s="781"/>
      <c r="H75" s="781"/>
      <c r="I75" s="802">
        <f>VLOOKUP(E75,$B$86:$H$119,7,FALSE)</f>
        <v>24</v>
      </c>
      <c r="J75" s="802">
        <f>VLOOKUP(E75,$K$86:$R$119,8,FALSE)</f>
        <v>24</v>
      </c>
      <c r="K75" s="802">
        <f>VLOOKUP(E75,$T$86:$AA$119,8,FALSE)</f>
        <v>6</v>
      </c>
      <c r="L75" s="801">
        <f>AVERAGE(I75:K75)</f>
        <v>18</v>
      </c>
      <c r="M75" s="800">
        <f>(I75*0.25)+(J75*0.5)+(K75*0.25)</f>
        <v>19.5</v>
      </c>
      <c r="N75" s="769">
        <f t="shared" si="8"/>
        <v>2</v>
      </c>
      <c r="O75" s="799">
        <v>694.70236</v>
      </c>
      <c r="P75" s="799">
        <v>48.775440000000003</v>
      </c>
      <c r="Q75" s="798">
        <v>0.16263058</v>
      </c>
      <c r="S75" s="804">
        <v>7.32</v>
      </c>
      <c r="AI75" s="782"/>
      <c r="AJ75" s="782"/>
    </row>
    <row r="76" spans="1:36" ht="48.75" customHeight="1" thickBot="1">
      <c r="A76" s="803"/>
      <c r="B76" s="786"/>
      <c r="C76" s="786"/>
      <c r="D76" s="786"/>
      <c r="E76" s="781" t="s">
        <v>909</v>
      </c>
      <c r="F76" s="781"/>
      <c r="G76" s="781"/>
      <c r="H76" s="781"/>
      <c r="I76" s="802"/>
      <c r="J76" s="802"/>
      <c r="K76" s="802"/>
      <c r="L76" s="801"/>
      <c r="M76" s="800">
        <f>M75-S75</f>
        <v>12.18</v>
      </c>
      <c r="N76" s="769">
        <f t="shared" si="8"/>
        <v>3</v>
      </c>
      <c r="O76" s="799"/>
      <c r="P76" s="799"/>
      <c r="Q76" s="798"/>
      <c r="AI76" s="782"/>
      <c r="AJ76" s="782"/>
    </row>
    <row r="77" spans="1:36" ht="48.75" customHeight="1" thickBot="1">
      <c r="A77" s="803"/>
      <c r="B77" s="786"/>
      <c r="C77" s="786"/>
      <c r="D77" s="786"/>
      <c r="E77" s="781" t="s">
        <v>908</v>
      </c>
      <c r="F77" s="781"/>
      <c r="G77" s="781"/>
      <c r="H77" s="781"/>
      <c r="I77" s="802"/>
      <c r="J77" s="802"/>
      <c r="K77" s="802"/>
      <c r="L77" s="801"/>
      <c r="M77" s="800">
        <f>M75+S75</f>
        <v>26.82</v>
      </c>
      <c r="N77" s="769">
        <f t="shared" si="8"/>
        <v>1</v>
      </c>
      <c r="O77" s="799"/>
      <c r="P77" s="799"/>
      <c r="Q77" s="798"/>
      <c r="AI77" s="782"/>
      <c r="AJ77" s="782"/>
    </row>
    <row r="78" spans="1:36" ht="48.75" customHeight="1" thickBot="1">
      <c r="A78" s="803"/>
      <c r="B78" s="786"/>
      <c r="C78" s="786"/>
      <c r="D78" s="786"/>
      <c r="E78" s="781" t="s">
        <v>907</v>
      </c>
      <c r="F78" s="781"/>
      <c r="G78" s="781"/>
      <c r="H78" s="781"/>
      <c r="I78" s="802">
        <f>VLOOKUP(E78,$B$86:$H$119,7,FALSE)</f>
        <v>6</v>
      </c>
      <c r="J78" s="802">
        <f>VLOOKUP(E78,$K$86:$R$119,8,FALSE)</f>
        <v>17</v>
      </c>
      <c r="K78" s="802">
        <f>VLOOKUP(E78,$T$86:$AA$119,8,FALSE)</f>
        <v>2</v>
      </c>
      <c r="L78" s="801">
        <f>AVERAGE(I78:K78)</f>
        <v>8.3333333333333339</v>
      </c>
      <c r="M78" s="800">
        <f>(I78*0.25)+(J78*0.5)+(K78*0.25)</f>
        <v>10.5</v>
      </c>
      <c r="N78" s="769">
        <f t="shared" si="8"/>
        <v>4</v>
      </c>
      <c r="O78" s="799">
        <v>486.05457000000001</v>
      </c>
      <c r="P78" s="799">
        <v>33.030572400000004</v>
      </c>
      <c r="Q78" s="798">
        <v>0.12039546</v>
      </c>
      <c r="S78" s="804">
        <v>7.32</v>
      </c>
      <c r="AI78" s="782"/>
      <c r="AJ78" s="782"/>
    </row>
    <row r="79" spans="1:36" ht="48.75" customHeight="1" thickBot="1">
      <c r="A79" s="803"/>
      <c r="B79" s="786"/>
      <c r="C79" s="786"/>
      <c r="D79" s="786"/>
      <c r="E79" s="781" t="s">
        <v>906</v>
      </c>
      <c r="F79" s="781"/>
      <c r="G79" s="781"/>
      <c r="H79" s="781"/>
      <c r="I79" s="802"/>
      <c r="J79" s="802"/>
      <c r="K79" s="802"/>
      <c r="L79" s="801"/>
      <c r="M79" s="800">
        <f>M78-S78</f>
        <v>3.1799999999999997</v>
      </c>
      <c r="N79" s="769">
        <f t="shared" si="8"/>
        <v>4</v>
      </c>
      <c r="O79" s="799"/>
      <c r="P79" s="799"/>
      <c r="Q79" s="798"/>
      <c r="AI79" s="782"/>
      <c r="AJ79" s="782"/>
    </row>
    <row r="80" spans="1:36" ht="48.75" customHeight="1" thickBot="1">
      <c r="A80" s="803"/>
      <c r="B80" s="786"/>
      <c r="C80" s="786"/>
      <c r="D80" s="786"/>
      <c r="E80" s="781" t="s">
        <v>905</v>
      </c>
      <c r="F80" s="781"/>
      <c r="G80" s="781"/>
      <c r="H80" s="781"/>
      <c r="I80" s="802"/>
      <c r="J80" s="802"/>
      <c r="K80" s="802"/>
      <c r="L80" s="801"/>
      <c r="M80" s="800">
        <f>M78+S78</f>
        <v>17.82</v>
      </c>
      <c r="N80" s="769">
        <f t="shared" si="8"/>
        <v>3</v>
      </c>
      <c r="O80" s="799"/>
      <c r="P80" s="799"/>
      <c r="Q80" s="798"/>
      <c r="AI80" s="782"/>
      <c r="AJ80" s="782"/>
    </row>
    <row r="81" spans="1:36" ht="48.75" customHeight="1" thickBot="1">
      <c r="A81" s="803"/>
      <c r="B81" s="786"/>
      <c r="C81" s="786"/>
      <c r="D81" s="786"/>
      <c r="E81" s="781" t="s">
        <v>904</v>
      </c>
      <c r="F81" s="781"/>
      <c r="G81" s="781"/>
      <c r="H81" s="781"/>
      <c r="I81" s="802">
        <f>VLOOKUP(E81,$B$86:$H$119,7,FALSE)</f>
        <v>7</v>
      </c>
      <c r="J81" s="802">
        <f>VLOOKUP(E81,$K$86:$R$119,8,FALSE)</f>
        <v>13</v>
      </c>
      <c r="K81" s="802">
        <f>VLOOKUP(E81,$T$86:$AA$119,8,FALSE)</f>
        <v>3</v>
      </c>
      <c r="L81" s="801">
        <f>AVERAGE(I81:K81)</f>
        <v>7.666666666666667</v>
      </c>
      <c r="M81" s="800">
        <f>(I81*0.25)+(J81*0.5)+(K81*0.25)</f>
        <v>9</v>
      </c>
      <c r="N81" s="769">
        <f t="shared" si="8"/>
        <v>4</v>
      </c>
      <c r="O81" s="799">
        <v>487.04347362500005</v>
      </c>
      <c r="P81" s="799">
        <v>4.1154937499999988</v>
      </c>
      <c r="Q81" s="798">
        <v>0.13653770499999998</v>
      </c>
      <c r="S81" s="804">
        <v>7.32</v>
      </c>
      <c r="AI81" s="782"/>
      <c r="AJ81" s="782"/>
    </row>
    <row r="82" spans="1:36" ht="48.75" customHeight="1" thickBot="1">
      <c r="A82" s="803"/>
      <c r="B82" s="786"/>
      <c r="C82" s="786"/>
      <c r="D82" s="786"/>
      <c r="E82" s="781" t="s">
        <v>903</v>
      </c>
      <c r="F82" s="781"/>
      <c r="G82" s="781"/>
      <c r="H82" s="781"/>
      <c r="I82" s="802"/>
      <c r="J82" s="802"/>
      <c r="K82" s="802"/>
      <c r="L82" s="801"/>
      <c r="M82" s="800">
        <f>M81-S81</f>
        <v>1.6799999999999997</v>
      </c>
      <c r="N82" s="769">
        <f t="shared" si="8"/>
        <v>4</v>
      </c>
      <c r="O82" s="799"/>
      <c r="P82" s="799"/>
      <c r="Q82" s="798"/>
      <c r="AI82" s="782"/>
      <c r="AJ82" s="782"/>
    </row>
    <row r="83" spans="1:36" ht="48.75" customHeight="1" thickBot="1">
      <c r="A83" s="797"/>
      <c r="B83" s="796"/>
      <c r="C83" s="796"/>
      <c r="D83" s="796"/>
      <c r="E83" s="795" t="s">
        <v>902</v>
      </c>
      <c r="F83" s="795"/>
      <c r="G83" s="795"/>
      <c r="H83" s="795"/>
      <c r="I83" s="794"/>
      <c r="J83" s="794"/>
      <c r="K83" s="794"/>
      <c r="L83" s="793"/>
      <c r="M83" s="792">
        <f>M81+S81</f>
        <v>16.32</v>
      </c>
      <c r="N83" s="769">
        <f t="shared" si="8"/>
        <v>3</v>
      </c>
      <c r="O83" s="791"/>
      <c r="P83" s="791"/>
      <c r="Q83" s="790"/>
      <c r="AI83" s="782"/>
      <c r="AJ83" s="782"/>
    </row>
    <row r="85" spans="1:36">
      <c r="A85" s="762"/>
      <c r="B85" t="s">
        <v>860</v>
      </c>
      <c r="E85" s="762"/>
      <c r="K85" t="s">
        <v>859</v>
      </c>
      <c r="M85" s="762"/>
      <c r="T85" t="s">
        <v>858</v>
      </c>
    </row>
    <row r="86" spans="1:36">
      <c r="B86" s="787" t="str">
        <f>E27</f>
        <v>Caisson Bois &amp; Cellulose &amp; Enduit</v>
      </c>
      <c r="C86" s="783"/>
      <c r="D86" s="783"/>
      <c r="E86" s="783"/>
      <c r="F86" s="786"/>
      <c r="G86" s="784">
        <v>312.18820848000001</v>
      </c>
      <c r="H86" s="789">
        <v>1</v>
      </c>
      <c r="I86" s="785"/>
      <c r="J86" s="786"/>
      <c r="K86" s="783" t="s">
        <v>899</v>
      </c>
      <c r="L86" s="784"/>
      <c r="M86" s="783"/>
      <c r="N86" s="786"/>
      <c r="O86" s="786"/>
      <c r="P86" s="781"/>
      <c r="Q86" s="784">
        <v>-64.345443500000002</v>
      </c>
      <c r="R86" s="785">
        <v>1</v>
      </c>
      <c r="S86" s="788"/>
      <c r="T86" s="783" t="str">
        <f>E67</f>
        <v>Eléments lourds en béton cellulaire &amp; Sans</v>
      </c>
      <c r="U86" s="783"/>
      <c r="V86" s="783"/>
      <c r="W86" s="786"/>
      <c r="X86" s="786"/>
      <c r="Y86" s="786"/>
      <c r="Z86" s="784">
        <v>0.12014999999999999</v>
      </c>
      <c r="AA86" s="785">
        <v>1</v>
      </c>
    </row>
    <row r="87" spans="1:36">
      <c r="B87" s="787" t="str">
        <f>E30</f>
        <v>Caisson Bois &amp; Cellulose &amp; Bardage bois</v>
      </c>
      <c r="C87" s="783"/>
      <c r="D87" s="783"/>
      <c r="E87" s="783"/>
      <c r="F87" s="786"/>
      <c r="G87" s="784">
        <v>313.17711210499999</v>
      </c>
      <c r="H87" s="789">
        <v>2</v>
      </c>
      <c r="I87" s="785"/>
      <c r="J87" s="786"/>
      <c r="K87" s="787" t="str">
        <f>E30</f>
        <v>Caisson Bois &amp; Cellulose &amp; Bardage bois</v>
      </c>
      <c r="L87" s="784"/>
      <c r="M87" s="783"/>
      <c r="N87" s="786"/>
      <c r="O87" s="786"/>
      <c r="P87" s="781"/>
      <c r="Q87" s="784">
        <v>-61.32558745</v>
      </c>
      <c r="R87" s="785">
        <v>2</v>
      </c>
      <c r="S87" s="788"/>
      <c r="T87" s="787" t="str">
        <f>E78</f>
        <v>Eléments lourds en Terre cuite &amp; Laine minérale &amp; Enduit</v>
      </c>
      <c r="U87" s="783"/>
      <c r="V87" s="783"/>
      <c r="W87" s="786"/>
      <c r="X87" s="786"/>
      <c r="Y87" s="786"/>
      <c r="Z87" s="784">
        <v>0.12039546</v>
      </c>
      <c r="AA87" s="785">
        <v>2</v>
      </c>
    </row>
    <row r="88" spans="1:36">
      <c r="B88" s="787" t="str">
        <f>E19</f>
        <v>Caisson bois &amp; Laine minérale &amp; Enduit</v>
      </c>
      <c r="C88" s="783"/>
      <c r="D88" s="783"/>
      <c r="E88" s="783"/>
      <c r="F88" s="786"/>
      <c r="G88" s="784">
        <v>324.80364847999999</v>
      </c>
      <c r="H88" s="789">
        <v>3</v>
      </c>
      <c r="I88" s="785"/>
      <c r="J88" s="786"/>
      <c r="K88" s="783" t="s">
        <v>901</v>
      </c>
      <c r="L88" s="784"/>
      <c r="M88" s="783"/>
      <c r="N88" s="786"/>
      <c r="O88" s="786"/>
      <c r="P88" s="781"/>
      <c r="Q88" s="784">
        <v>-59.01264350000001</v>
      </c>
      <c r="R88" s="785">
        <v>3</v>
      </c>
      <c r="S88" s="788"/>
      <c r="T88" s="787" t="str">
        <f>E81</f>
        <v>Eléments lourds en Terre cuite &amp; Laine minérale &amp; Bardage bois</v>
      </c>
      <c r="U88" s="783"/>
      <c r="V88" s="783"/>
      <c r="W88" s="786"/>
      <c r="X88" s="786"/>
      <c r="Y88" s="786"/>
      <c r="Z88" s="784">
        <v>0.13653770499999998</v>
      </c>
      <c r="AA88" s="785">
        <v>3</v>
      </c>
    </row>
    <row r="89" spans="1:36">
      <c r="B89" s="787" t="str">
        <f>E21</f>
        <v>Caisson Bois &amp; Laine minérale &amp; Bardage bois</v>
      </c>
      <c r="C89" s="783"/>
      <c r="D89" s="783"/>
      <c r="E89" s="783"/>
      <c r="F89" s="786"/>
      <c r="G89" s="784">
        <v>325.79255210500003</v>
      </c>
      <c r="H89" s="789">
        <v>4</v>
      </c>
      <c r="I89" s="785"/>
      <c r="J89" s="786"/>
      <c r="K89" s="787" t="str">
        <f>E21</f>
        <v>Caisson Bois &amp; Laine minérale &amp; Bardage bois</v>
      </c>
      <c r="L89" s="784"/>
      <c r="M89" s="783"/>
      <c r="N89" s="786"/>
      <c r="O89" s="786"/>
      <c r="P89" s="781"/>
      <c r="Q89" s="784">
        <v>-53.39181945</v>
      </c>
      <c r="R89" s="785">
        <v>4</v>
      </c>
      <c r="S89" s="788"/>
      <c r="T89" s="787" t="str">
        <f>E70</f>
        <v>Eléments lourds en béton cellulaire &amp; Enduit</v>
      </c>
      <c r="U89" s="783"/>
      <c r="V89" s="783"/>
      <c r="W89" s="786"/>
      <c r="X89" s="786"/>
      <c r="Y89" s="786"/>
      <c r="Z89" s="784">
        <v>0.13962239999999998</v>
      </c>
      <c r="AA89" s="785">
        <v>4</v>
      </c>
    </row>
    <row r="90" spans="1:36">
      <c r="B90" s="783" t="s">
        <v>901</v>
      </c>
      <c r="C90" s="783"/>
      <c r="D90" s="783"/>
      <c r="E90" s="783"/>
      <c r="F90" s="786"/>
      <c r="G90" s="784">
        <v>454.15841049999995</v>
      </c>
      <c r="H90" s="789">
        <v>5</v>
      </c>
      <c r="I90" s="785"/>
      <c r="J90" s="786"/>
      <c r="K90" s="787" t="str">
        <f>E27</f>
        <v>Caisson Bois &amp; Cellulose &amp; Enduit</v>
      </c>
      <c r="L90" s="784"/>
      <c r="M90" s="783"/>
      <c r="N90" s="786"/>
      <c r="O90" s="786"/>
      <c r="P90" s="781"/>
      <c r="Q90" s="784">
        <v>-32.410508799999995</v>
      </c>
      <c r="R90" s="785">
        <v>5</v>
      </c>
      <c r="S90" s="788"/>
      <c r="T90" s="787" t="str">
        <f>E71</f>
        <v>Eléments lourds en béton cellulaire &amp; Bardage bois</v>
      </c>
      <c r="U90" s="783"/>
      <c r="V90" s="783"/>
      <c r="W90" s="786"/>
      <c r="X90" s="786"/>
      <c r="Y90" s="786"/>
      <c r="Z90" s="784">
        <v>0.15576464499999998</v>
      </c>
      <c r="AA90" s="785">
        <v>5</v>
      </c>
    </row>
    <row r="91" spans="1:36">
      <c r="B91" s="787" t="str">
        <f>E78</f>
        <v>Eléments lourds en Terre cuite &amp; Laine minérale &amp; Enduit</v>
      </c>
      <c r="C91" s="783"/>
      <c r="D91" s="783"/>
      <c r="E91" s="783"/>
      <c r="F91" s="786"/>
      <c r="G91" s="784">
        <v>486.05457000000001</v>
      </c>
      <c r="H91" s="789">
        <v>6</v>
      </c>
      <c r="I91" s="785"/>
      <c r="J91" s="786"/>
      <c r="K91" s="787" t="str">
        <f>E19</f>
        <v>Caisson bois &amp; Laine minérale &amp; Enduit</v>
      </c>
      <c r="L91" s="784"/>
      <c r="M91" s="783"/>
      <c r="N91" s="786"/>
      <c r="O91" s="786"/>
      <c r="P91" s="781"/>
      <c r="Q91" s="784">
        <v>-24.476740799999995</v>
      </c>
      <c r="R91" s="785">
        <v>6</v>
      </c>
      <c r="S91" s="788"/>
      <c r="T91" s="787" t="str">
        <f>E75</f>
        <v>Eléments lourds en Terre cuite &amp; Laine minérale &amp; Briques</v>
      </c>
      <c r="U91" s="783"/>
      <c r="V91" s="783"/>
      <c r="W91" s="786"/>
      <c r="X91" s="786"/>
      <c r="Y91" s="786"/>
      <c r="Z91" s="784">
        <v>0.16263058</v>
      </c>
      <c r="AA91" s="785">
        <v>6</v>
      </c>
    </row>
    <row r="92" spans="1:36">
      <c r="B92" s="787" t="str">
        <f>E81</f>
        <v>Eléments lourds en Terre cuite &amp; Laine minérale &amp; Bardage bois</v>
      </c>
      <c r="C92" s="783"/>
      <c r="D92" s="783"/>
      <c r="E92" s="783"/>
      <c r="F92" s="786"/>
      <c r="G92" s="784">
        <v>487.04347362500005</v>
      </c>
      <c r="H92" s="789">
        <v>7</v>
      </c>
      <c r="I92" s="785"/>
      <c r="J92" s="786"/>
      <c r="K92" s="787" t="str">
        <f>E25</f>
        <v>Caisson Bois &amp; Cellulose &amp; Briques</v>
      </c>
      <c r="L92" s="784"/>
      <c r="M92" s="783"/>
      <c r="N92" s="786"/>
      <c r="O92" s="786"/>
      <c r="P92" s="781"/>
      <c r="Q92" s="784">
        <v>-16.6656412</v>
      </c>
      <c r="R92" s="785">
        <v>7</v>
      </c>
      <c r="S92" s="788"/>
      <c r="T92" s="787" t="str">
        <f>E27</f>
        <v>Caisson Bois &amp; Cellulose &amp; Enduit</v>
      </c>
      <c r="U92" s="783"/>
      <c r="V92" s="783"/>
      <c r="W92" s="786"/>
      <c r="X92" s="786"/>
      <c r="Y92" s="786"/>
      <c r="Z92" s="784">
        <v>0.17249888000000002</v>
      </c>
      <c r="AA92" s="785">
        <v>7</v>
      </c>
    </row>
    <row r="93" spans="1:36">
      <c r="B93" s="783" t="str">
        <f>E67</f>
        <v>Eléments lourds en béton cellulaire &amp; Sans</v>
      </c>
      <c r="C93" s="783"/>
      <c r="D93" s="783"/>
      <c r="E93" s="783"/>
      <c r="F93" s="786"/>
      <c r="G93" s="784">
        <v>516</v>
      </c>
      <c r="H93" s="789">
        <v>8</v>
      </c>
      <c r="I93" s="785"/>
      <c r="J93" s="786"/>
      <c r="K93" s="787" t="str">
        <f>E23</f>
        <v>Caisson Bois &amp; Cellulose &amp; Bardage métallique</v>
      </c>
      <c r="L93" s="784"/>
      <c r="M93" s="783"/>
      <c r="N93" s="786"/>
      <c r="O93" s="786"/>
      <c r="P93" s="781"/>
      <c r="Q93" s="784">
        <v>-16.034651199999999</v>
      </c>
      <c r="R93" s="785">
        <v>8</v>
      </c>
      <c r="S93" s="788"/>
      <c r="T93" s="787" t="str">
        <f>E19</f>
        <v>Caisson bois &amp; Laine minérale &amp; Enduit</v>
      </c>
      <c r="U93" s="783"/>
      <c r="V93" s="783"/>
      <c r="W93" s="786"/>
      <c r="X93" s="786"/>
      <c r="Y93" s="786"/>
      <c r="Z93" s="784">
        <v>0.17688567999999999</v>
      </c>
      <c r="AA93" s="785">
        <v>8</v>
      </c>
    </row>
    <row r="94" spans="1:36">
      <c r="B94" s="787" t="str">
        <f>E25</f>
        <v>Caisson Bois &amp; Cellulose &amp; Briques</v>
      </c>
      <c r="C94" s="783"/>
      <c r="D94" s="783"/>
      <c r="E94" s="783"/>
      <c r="F94" s="786"/>
      <c r="G94" s="784">
        <v>520.83599848000006</v>
      </c>
      <c r="H94" s="789">
        <v>9</v>
      </c>
      <c r="I94" s="785"/>
      <c r="J94" s="786"/>
      <c r="K94" s="787" t="str">
        <f>E17</f>
        <v>Caisson Bois &amp; Laine minérale &amp; Briques</v>
      </c>
      <c r="L94" s="784"/>
      <c r="M94" s="783"/>
      <c r="N94" s="786"/>
      <c r="O94" s="786"/>
      <c r="P94" s="781"/>
      <c r="Q94" s="784">
        <v>-8.731873199999999</v>
      </c>
      <c r="R94" s="785">
        <v>9</v>
      </c>
      <c r="S94" s="788"/>
      <c r="T94" s="787" t="str">
        <f>E69</f>
        <v>Eléments lourds en béton cellulaire &amp; Briques</v>
      </c>
      <c r="U94" s="783"/>
      <c r="V94" s="783"/>
      <c r="W94" s="786"/>
      <c r="X94" s="786"/>
      <c r="Y94" s="786"/>
      <c r="Z94" s="784">
        <v>0.18185751999999999</v>
      </c>
      <c r="AA94" s="785">
        <v>9</v>
      </c>
    </row>
    <row r="95" spans="1:36">
      <c r="B95" s="787" t="str">
        <f>E17</f>
        <v>Caisson Bois &amp; Laine minérale &amp; Briques</v>
      </c>
      <c r="C95" s="783"/>
      <c r="D95" s="783"/>
      <c r="E95" s="783"/>
      <c r="F95" s="786"/>
      <c r="G95" s="784">
        <v>533.45143847999998</v>
      </c>
      <c r="H95" s="789">
        <v>10</v>
      </c>
      <c r="I95" s="785"/>
      <c r="J95" s="786"/>
      <c r="K95" s="787" t="str">
        <f>E15</f>
        <v>Caisson bois &amp; Laine minérale &amp; Bardage métallique</v>
      </c>
      <c r="L95" s="784"/>
      <c r="M95" s="783"/>
      <c r="N95" s="786"/>
      <c r="O95" s="786"/>
      <c r="P95" s="781"/>
      <c r="Q95" s="784">
        <v>-8.1008831999999984</v>
      </c>
      <c r="R95" s="785">
        <v>10</v>
      </c>
      <c r="S95" s="788"/>
      <c r="T95" s="787" t="str">
        <f>E13</f>
        <v>Caisson acier &amp; Autre isolant végétal &amp; Enduit</v>
      </c>
      <c r="U95" s="783"/>
      <c r="V95" s="783"/>
      <c r="W95" s="786"/>
      <c r="X95" s="786"/>
      <c r="Y95" s="786"/>
      <c r="Z95" s="784">
        <v>0.18420336000000001</v>
      </c>
      <c r="AA95" s="785">
        <v>10</v>
      </c>
    </row>
    <row r="96" spans="1:36">
      <c r="B96" s="783" t="s">
        <v>899</v>
      </c>
      <c r="C96" s="783"/>
      <c r="D96" s="783"/>
      <c r="E96" s="783"/>
      <c r="F96" s="786"/>
      <c r="G96" s="784">
        <v>555.65841049999995</v>
      </c>
      <c r="H96" s="789">
        <v>11</v>
      </c>
      <c r="I96" s="785"/>
      <c r="J96" s="786"/>
      <c r="K96" s="787" t="str">
        <f>E14</f>
        <v>Caisson acier &amp; Autre isolant végétal &amp; Bardage bois</v>
      </c>
      <c r="L96" s="784"/>
      <c r="M96" s="783"/>
      <c r="N96" s="786"/>
      <c r="O96" s="786"/>
      <c r="P96" s="781"/>
      <c r="Q96" s="784">
        <v>-5.2798582500000037</v>
      </c>
      <c r="R96" s="785">
        <v>11</v>
      </c>
      <c r="S96" s="788"/>
      <c r="T96" s="787" t="str">
        <f>E30</f>
        <v>Caisson Bois &amp; Cellulose &amp; Bardage bois</v>
      </c>
      <c r="U96" s="783"/>
      <c r="V96" s="783"/>
      <c r="W96" s="786"/>
      <c r="X96" s="786"/>
      <c r="Y96" s="786"/>
      <c r="Z96" s="784">
        <v>0.18864112500000002</v>
      </c>
      <c r="AA96" s="785">
        <v>11</v>
      </c>
    </row>
    <row r="97" spans="2:27">
      <c r="B97" s="787" t="str">
        <f>E70</f>
        <v>Eléments lourds en béton cellulaire &amp; Enduit</v>
      </c>
      <c r="C97" s="783"/>
      <c r="D97" s="783"/>
      <c r="E97" s="783"/>
      <c r="F97" s="786"/>
      <c r="G97" s="784">
        <v>583.59477000000004</v>
      </c>
      <c r="H97" s="789">
        <v>12</v>
      </c>
      <c r="I97" s="785"/>
      <c r="J97" s="786"/>
      <c r="K97" s="787" t="str">
        <f>E9</f>
        <v>Caisson acier &amp; Laine minérale &amp; Bardage bois</v>
      </c>
      <c r="L97" s="784"/>
      <c r="M97" s="783"/>
      <c r="N97" s="786"/>
      <c r="O97" s="786"/>
      <c r="P97" s="781"/>
      <c r="Q97" s="784">
        <v>3.541833749999995</v>
      </c>
      <c r="R97" s="785">
        <v>12</v>
      </c>
      <c r="S97" s="788"/>
      <c r="T97" s="787" t="str">
        <f>E21</f>
        <v>Caisson Bois &amp; Laine minérale &amp; Bardage bois</v>
      </c>
      <c r="U97" s="783"/>
      <c r="V97" s="783"/>
      <c r="W97" s="786"/>
      <c r="X97" s="786"/>
      <c r="Y97" s="786"/>
      <c r="Z97" s="784">
        <v>0.19302792499999999</v>
      </c>
      <c r="AA97" s="785">
        <v>12</v>
      </c>
    </row>
    <row r="98" spans="2:27">
      <c r="B98" s="787" t="str">
        <f>E71</f>
        <v>Eléments lourds en béton cellulaire &amp; Bardage bois</v>
      </c>
      <c r="C98" s="783"/>
      <c r="D98" s="783"/>
      <c r="E98" s="783"/>
      <c r="F98" s="786"/>
      <c r="G98" s="784">
        <v>584.58367362499996</v>
      </c>
      <c r="H98" s="789">
        <v>13</v>
      </c>
      <c r="I98" s="785"/>
      <c r="J98" s="786"/>
      <c r="K98" s="787" t="str">
        <f>E81</f>
        <v>Eléments lourds en Terre cuite &amp; Laine minérale &amp; Bardage bois</v>
      </c>
      <c r="L98" s="784"/>
      <c r="M98" s="783"/>
      <c r="N98" s="786"/>
      <c r="O98" s="786"/>
      <c r="P98" s="781"/>
      <c r="Q98" s="784">
        <v>4.1154937499999988</v>
      </c>
      <c r="R98" s="785">
        <v>13</v>
      </c>
      <c r="S98" s="788"/>
      <c r="T98" s="787" t="str">
        <f>E14</f>
        <v>Caisson acier &amp; Autre isolant végétal &amp; Bardage bois</v>
      </c>
      <c r="U98" s="783"/>
      <c r="V98" s="783"/>
      <c r="W98" s="786"/>
      <c r="X98" s="786"/>
      <c r="Y98" s="786"/>
      <c r="Z98" s="784">
        <v>0.20034560500000001</v>
      </c>
      <c r="AA98" s="785">
        <v>13</v>
      </c>
    </row>
    <row r="99" spans="2:27">
      <c r="B99" s="787" t="str">
        <f>E13</f>
        <v>Caisson acier &amp; Autre isolant végétal &amp; Enduit</v>
      </c>
      <c r="C99" s="783"/>
      <c r="D99" s="783"/>
      <c r="E99" s="783"/>
      <c r="F99" s="786"/>
      <c r="G99" s="784">
        <v>589.24305000000004</v>
      </c>
      <c r="H99" s="789">
        <v>14</v>
      </c>
      <c r="I99" s="785"/>
      <c r="J99" s="786"/>
      <c r="K99" s="787" t="str">
        <f>E13</f>
        <v>Caisson acier &amp; Autre isolant végétal &amp; Enduit</v>
      </c>
      <c r="L99" s="784"/>
      <c r="M99" s="783"/>
      <c r="N99" s="786"/>
      <c r="O99" s="786"/>
      <c r="P99" s="781"/>
      <c r="Q99" s="784">
        <v>23.635220400000001</v>
      </c>
      <c r="R99" s="785">
        <v>14</v>
      </c>
      <c r="S99" s="788"/>
      <c r="T99" s="787" t="str">
        <f>E7</f>
        <v>Caisson acier &amp; Laine minérale &amp; Enduit</v>
      </c>
      <c r="U99" s="783"/>
      <c r="V99" s="783"/>
      <c r="W99" s="786"/>
      <c r="X99" s="786"/>
      <c r="Y99" s="786"/>
      <c r="Z99" s="784">
        <v>0.2005344</v>
      </c>
      <c r="AA99" s="785">
        <v>14</v>
      </c>
    </row>
    <row r="100" spans="2:27">
      <c r="B100" s="787" t="str">
        <f>E14</f>
        <v>Caisson acier &amp; Autre isolant végétal &amp; Bardage bois</v>
      </c>
      <c r="C100" s="783"/>
      <c r="D100" s="783"/>
      <c r="E100" s="783"/>
      <c r="F100" s="786"/>
      <c r="G100" s="784">
        <v>590.23195362499996</v>
      </c>
      <c r="H100" s="789">
        <v>15</v>
      </c>
      <c r="I100" s="785"/>
      <c r="J100" s="786"/>
      <c r="K100" s="787" t="str">
        <f>E71</f>
        <v>Eléments lourds en béton cellulaire &amp; Bardage bois</v>
      </c>
      <c r="L100" s="784"/>
      <c r="M100" s="783"/>
      <c r="N100" s="786"/>
      <c r="O100" s="786"/>
      <c r="P100" s="781"/>
      <c r="Q100" s="784">
        <v>24.197973749999996</v>
      </c>
      <c r="R100" s="785">
        <v>15</v>
      </c>
      <c r="S100" s="788"/>
      <c r="T100" s="783" t="s">
        <v>900</v>
      </c>
      <c r="U100" s="783"/>
      <c r="V100" s="783"/>
      <c r="W100" s="786"/>
      <c r="X100" s="786"/>
      <c r="Y100" s="786"/>
      <c r="Z100" s="784">
        <v>0.20816775000000001</v>
      </c>
      <c r="AA100" s="785">
        <v>15</v>
      </c>
    </row>
    <row r="101" spans="2:27">
      <c r="B101" s="787" t="str">
        <f>E49</f>
        <v>Eléments lourds Béton &amp; Laine minérale &amp; Enduit</v>
      </c>
      <c r="C101" s="783"/>
      <c r="D101" s="783"/>
      <c r="E101" s="783"/>
      <c r="F101" s="786"/>
      <c r="G101" s="784">
        <v>591.82037800000012</v>
      </c>
      <c r="H101" s="789">
        <v>16</v>
      </c>
      <c r="I101" s="785"/>
      <c r="J101" s="786"/>
      <c r="K101" s="787" t="str">
        <f>E7</f>
        <v>Caisson acier &amp; Laine minérale &amp; Enduit</v>
      </c>
      <c r="L101" s="784"/>
      <c r="M101" s="783"/>
      <c r="N101" s="786"/>
      <c r="O101" s="786"/>
      <c r="P101" s="781"/>
      <c r="Q101" s="784">
        <v>32.4569124</v>
      </c>
      <c r="R101" s="785">
        <v>16</v>
      </c>
      <c r="S101" s="788"/>
      <c r="T101" s="783" t="s">
        <v>901</v>
      </c>
      <c r="U101" s="783"/>
      <c r="V101" s="783"/>
      <c r="W101" s="786"/>
      <c r="X101" s="786"/>
      <c r="Y101" s="786"/>
      <c r="Z101" s="784">
        <v>0.20841626999999999</v>
      </c>
      <c r="AA101" s="785">
        <v>16</v>
      </c>
    </row>
    <row r="102" spans="2:27">
      <c r="B102" s="787" t="str">
        <f>E52</f>
        <v>Eléments lourds Béton &amp; Laine minérale &amp; Bardage bois</v>
      </c>
      <c r="C102" s="783"/>
      <c r="D102" s="783"/>
      <c r="E102" s="783"/>
      <c r="F102" s="786"/>
      <c r="G102" s="784">
        <v>592.80928162500004</v>
      </c>
      <c r="H102" s="789">
        <v>17</v>
      </c>
      <c r="I102" s="786"/>
      <c r="J102" s="786"/>
      <c r="K102" s="787" t="str">
        <f>E78</f>
        <v>Eléments lourds en Terre cuite &amp; Laine minérale &amp; Enduit</v>
      </c>
      <c r="L102" s="786"/>
      <c r="M102" s="786"/>
      <c r="N102" s="786"/>
      <c r="O102" s="786"/>
      <c r="P102" s="786"/>
      <c r="Q102" s="784">
        <v>33.030572400000004</v>
      </c>
      <c r="R102" s="785">
        <v>17</v>
      </c>
      <c r="S102" s="788"/>
      <c r="T102" s="787" t="str">
        <f>E25</f>
        <v>Caisson Bois &amp; Cellulose &amp; Briques</v>
      </c>
      <c r="U102" s="783"/>
      <c r="V102" s="786"/>
      <c r="W102" s="786"/>
      <c r="X102" s="786"/>
      <c r="Y102" s="786"/>
      <c r="Z102" s="784">
        <v>0.21473400000000001</v>
      </c>
      <c r="AA102" s="785">
        <v>17</v>
      </c>
    </row>
    <row r="103" spans="2:27">
      <c r="B103" s="787" t="str">
        <f>E7</f>
        <v>Caisson acier &amp; Laine minérale &amp; Enduit</v>
      </c>
      <c r="C103" s="783"/>
      <c r="D103" s="783"/>
      <c r="E103" s="783"/>
      <c r="F103" s="786"/>
      <c r="G103" s="784">
        <v>627.82137</v>
      </c>
      <c r="H103" s="789">
        <v>18</v>
      </c>
      <c r="I103" s="786"/>
      <c r="J103" s="786"/>
      <c r="K103" s="783" t="s">
        <v>900</v>
      </c>
      <c r="L103" s="786"/>
      <c r="M103" s="786"/>
      <c r="N103" s="786"/>
      <c r="O103" s="786"/>
      <c r="P103" s="781"/>
      <c r="Q103" s="784">
        <v>33.35622</v>
      </c>
      <c r="R103" s="785">
        <v>18</v>
      </c>
      <c r="S103" s="788"/>
      <c r="T103" s="787" t="str">
        <f>E9</f>
        <v>Caisson acier &amp; Laine minérale &amp; Bardage bois</v>
      </c>
      <c r="U103" s="783"/>
      <c r="V103" s="783"/>
      <c r="W103" s="786"/>
      <c r="X103" s="786"/>
      <c r="Y103" s="786"/>
      <c r="Z103" s="784">
        <v>0.216676645</v>
      </c>
      <c r="AA103" s="785">
        <v>18</v>
      </c>
    </row>
    <row r="104" spans="2:27">
      <c r="B104" s="787" t="str">
        <f>E9</f>
        <v>Caisson acier &amp; Laine minérale &amp; Bardage bois</v>
      </c>
      <c r="C104" s="783"/>
      <c r="D104" s="783"/>
      <c r="E104" s="783"/>
      <c r="F104" s="786"/>
      <c r="G104" s="784">
        <v>628.81027362499992</v>
      </c>
      <c r="H104" s="789">
        <v>19</v>
      </c>
      <c r="I104" s="785"/>
      <c r="J104" s="786"/>
      <c r="K104" s="787" t="str">
        <f>E12</f>
        <v>Caisson acier &amp; Autre isolant végétal &amp; Briques</v>
      </c>
      <c r="L104" s="784"/>
      <c r="M104" s="783"/>
      <c r="N104" s="786"/>
      <c r="O104" s="786"/>
      <c r="P104" s="781"/>
      <c r="Q104" s="784">
        <v>39.380088000000001</v>
      </c>
      <c r="R104" s="785">
        <v>19</v>
      </c>
      <c r="S104" s="788"/>
      <c r="T104" s="787" t="str">
        <f>E17</f>
        <v>Caisson Bois &amp; Laine minérale &amp; Briques</v>
      </c>
      <c r="U104" s="783"/>
      <c r="V104" s="783"/>
      <c r="W104" s="786"/>
      <c r="X104" s="786"/>
      <c r="Y104" s="786"/>
      <c r="Z104" s="784">
        <v>0.21912079999999998</v>
      </c>
      <c r="AA104" s="785">
        <v>19</v>
      </c>
    </row>
    <row r="105" spans="2:27">
      <c r="B105" s="787" t="str">
        <f>E23</f>
        <v>Caisson Bois &amp; Cellulose &amp; Bardage métallique</v>
      </c>
      <c r="C105" s="783"/>
      <c r="D105" s="783"/>
      <c r="E105" s="783"/>
      <c r="F105" s="786"/>
      <c r="G105" s="784">
        <v>648.41503848000002</v>
      </c>
      <c r="H105" s="789">
        <v>20</v>
      </c>
      <c r="I105" s="785"/>
      <c r="J105" s="786"/>
      <c r="K105" s="787" t="str">
        <f>E11</f>
        <v>Caisson acier &amp; Autre isolant végétal &amp; Bardage métallique</v>
      </c>
      <c r="L105" s="784"/>
      <c r="M105" s="783"/>
      <c r="N105" s="786"/>
      <c r="O105" s="786"/>
      <c r="P105" s="781"/>
      <c r="Q105" s="784">
        <v>40.011077999999998</v>
      </c>
      <c r="R105" s="785">
        <v>20</v>
      </c>
      <c r="S105" s="788"/>
      <c r="T105" s="787" t="str">
        <f>E72</f>
        <v>Eléments lourds en Terre cuite &amp; Laine minérale &amp; Bardage métallique</v>
      </c>
      <c r="U105" s="783"/>
      <c r="V105" s="783"/>
      <c r="W105" s="786"/>
      <c r="X105" s="786"/>
      <c r="Y105" s="786"/>
      <c r="Z105" s="784">
        <v>0.22418255999999998</v>
      </c>
      <c r="AA105" s="785">
        <v>20</v>
      </c>
    </row>
    <row r="106" spans="2:27">
      <c r="B106" s="783" t="s">
        <v>900</v>
      </c>
      <c r="C106" s="783"/>
      <c r="D106" s="783"/>
      <c r="E106" s="783"/>
      <c r="F106" s="786"/>
      <c r="G106" s="784">
        <v>648.94695000000002</v>
      </c>
      <c r="H106" s="789">
        <v>21</v>
      </c>
      <c r="I106" s="785"/>
      <c r="J106" s="786"/>
      <c r="K106" s="787" t="str">
        <f>E52</f>
        <v>Eléments lourds Béton &amp; Laine minérale &amp; Bardage bois</v>
      </c>
      <c r="L106" s="784"/>
      <c r="M106" s="783"/>
      <c r="N106" s="786"/>
      <c r="O106" s="786"/>
      <c r="P106" s="781"/>
      <c r="Q106" s="784">
        <v>40.109173749999997</v>
      </c>
      <c r="R106" s="785">
        <v>21</v>
      </c>
      <c r="S106" s="788"/>
      <c r="T106" s="787" t="str">
        <f>E12</f>
        <v>Caisson acier &amp; Autre isolant végétal &amp; Briques</v>
      </c>
      <c r="U106" s="783"/>
      <c r="V106" s="783"/>
      <c r="W106" s="786"/>
      <c r="X106" s="786"/>
      <c r="Y106" s="786"/>
      <c r="Z106" s="784">
        <v>0.22643848</v>
      </c>
      <c r="AA106" s="785">
        <v>21</v>
      </c>
    </row>
    <row r="107" spans="2:27">
      <c r="B107" s="787" t="str">
        <f>E15</f>
        <v>Caisson bois &amp; Laine minérale &amp; Bardage métallique</v>
      </c>
      <c r="C107" s="783"/>
      <c r="D107" s="783"/>
      <c r="E107" s="783"/>
      <c r="F107" s="786"/>
      <c r="G107" s="784">
        <v>661.03047848000006</v>
      </c>
      <c r="H107" s="789">
        <v>22</v>
      </c>
      <c r="I107" s="785"/>
      <c r="J107" s="786"/>
      <c r="K107" s="783" t="s">
        <v>897</v>
      </c>
      <c r="L107" s="784"/>
      <c r="M107" s="783"/>
      <c r="N107" s="786"/>
      <c r="O107" s="786"/>
      <c r="P107" s="781"/>
      <c r="Q107" s="784">
        <v>42.534619999999997</v>
      </c>
      <c r="R107" s="785">
        <v>22</v>
      </c>
      <c r="S107" s="788"/>
      <c r="T107" s="783" t="s">
        <v>899</v>
      </c>
      <c r="U107" s="783"/>
      <c r="V107" s="783"/>
      <c r="W107" s="786"/>
      <c r="X107" s="786"/>
      <c r="Y107" s="786"/>
      <c r="Z107" s="784">
        <v>0.23996426999999998</v>
      </c>
      <c r="AA107" s="785">
        <v>22</v>
      </c>
    </row>
    <row r="108" spans="2:27">
      <c r="B108" s="783" t="s">
        <v>898</v>
      </c>
      <c r="C108" s="783"/>
      <c r="D108" s="783"/>
      <c r="E108" s="783"/>
      <c r="F108" s="786"/>
      <c r="G108" s="784">
        <v>694.32998399999997</v>
      </c>
      <c r="H108" s="789">
        <v>23</v>
      </c>
      <c r="I108" s="785"/>
      <c r="J108" s="786"/>
      <c r="K108" s="787" t="str">
        <f>E5</f>
        <v>Caisson acier &amp; Laine minérale &amp; Briques</v>
      </c>
      <c r="L108" s="784"/>
      <c r="M108" s="783"/>
      <c r="N108" s="786"/>
      <c r="O108" s="786"/>
      <c r="P108" s="781"/>
      <c r="Q108" s="784">
        <v>48.201779999999999</v>
      </c>
      <c r="R108" s="785">
        <v>23</v>
      </c>
      <c r="S108" s="788"/>
      <c r="T108" s="787" t="str">
        <f>E5</f>
        <v>Caisson acier &amp; Laine minérale &amp; Briques</v>
      </c>
      <c r="U108" s="783"/>
      <c r="V108" s="783"/>
      <c r="W108" s="786"/>
      <c r="X108" s="786"/>
      <c r="Y108" s="786"/>
      <c r="Z108" s="784">
        <v>0.24276951999999999</v>
      </c>
      <c r="AA108" s="785">
        <v>23</v>
      </c>
    </row>
    <row r="109" spans="2:27">
      <c r="B109" s="787" t="str">
        <f>E75</f>
        <v>Eléments lourds en Terre cuite &amp; Laine minérale &amp; Briques</v>
      </c>
      <c r="C109" s="783"/>
      <c r="D109" s="783"/>
      <c r="E109" s="783"/>
      <c r="F109" s="786"/>
      <c r="G109" s="784">
        <v>694.70236</v>
      </c>
      <c r="H109" s="789">
        <v>24</v>
      </c>
      <c r="I109" s="785"/>
      <c r="J109" s="786"/>
      <c r="K109" s="787" t="str">
        <f>E75</f>
        <v>Eléments lourds en Terre cuite &amp; Laine minérale &amp; Briques</v>
      </c>
      <c r="L109" s="784"/>
      <c r="M109" s="783"/>
      <c r="N109" s="786"/>
      <c r="O109" s="786"/>
      <c r="P109" s="781"/>
      <c r="Q109" s="784">
        <v>48.775440000000003</v>
      </c>
      <c r="R109" s="785">
        <v>24</v>
      </c>
      <c r="S109" s="788"/>
      <c r="T109" s="787" t="str">
        <f>E68</f>
        <v>Eléments lourds en béton cellulaire &amp; Bardage métallique</v>
      </c>
      <c r="U109" s="783"/>
      <c r="V109" s="783"/>
      <c r="W109" s="786"/>
      <c r="X109" s="786"/>
      <c r="Y109" s="786"/>
      <c r="Z109" s="784">
        <v>0.2434095</v>
      </c>
      <c r="AA109" s="785">
        <v>24</v>
      </c>
    </row>
    <row r="110" spans="2:27">
      <c r="B110" s="787" t="str">
        <f>E69</f>
        <v>Eléments lourds en béton cellulaire &amp; Briques</v>
      </c>
      <c r="C110" s="783"/>
      <c r="D110" s="783"/>
      <c r="E110" s="783"/>
      <c r="F110" s="786"/>
      <c r="G110" s="784">
        <v>792.24256000000003</v>
      </c>
      <c r="H110" s="789">
        <v>25</v>
      </c>
      <c r="I110" s="785"/>
      <c r="J110" s="786"/>
      <c r="K110" s="787" t="str">
        <f>E3</f>
        <v>Caisson acier &amp; Laine minérale &amp; Bardage métallique</v>
      </c>
      <c r="L110" s="784"/>
      <c r="M110" s="783"/>
      <c r="N110" s="786"/>
      <c r="O110" s="786"/>
      <c r="P110" s="781"/>
      <c r="Q110" s="784">
        <v>48.832769999999996</v>
      </c>
      <c r="R110" s="785">
        <v>25</v>
      </c>
      <c r="S110" s="788"/>
      <c r="T110" s="787" t="str">
        <f>E49</f>
        <v>Eléments lourds Béton &amp; Laine minérale &amp; Enduit</v>
      </c>
      <c r="U110" s="783"/>
      <c r="V110" s="783"/>
      <c r="W110" s="786"/>
      <c r="X110" s="786"/>
      <c r="Y110" s="786"/>
      <c r="Z110" s="784">
        <v>0.25304039999999994</v>
      </c>
      <c r="AA110" s="785">
        <v>25</v>
      </c>
    </row>
    <row r="111" spans="2:27">
      <c r="B111" s="787" t="str">
        <f>E12</f>
        <v>Caisson acier &amp; Autre isolant végétal &amp; Briques</v>
      </c>
      <c r="C111" s="783"/>
      <c r="D111" s="783"/>
      <c r="E111" s="783"/>
      <c r="F111" s="786"/>
      <c r="G111" s="784">
        <v>797.89084000000003</v>
      </c>
      <c r="H111" s="789">
        <v>26</v>
      </c>
      <c r="I111" s="785"/>
      <c r="J111" s="786"/>
      <c r="K111" s="787" t="str">
        <f>E72</f>
        <v>Eléments lourds en Terre cuite &amp; Laine minérale &amp; Bardage métallique</v>
      </c>
      <c r="L111" s="784"/>
      <c r="M111" s="783"/>
      <c r="N111" s="786"/>
      <c r="O111" s="786"/>
      <c r="P111" s="781"/>
      <c r="Q111" s="784">
        <v>49.40643</v>
      </c>
      <c r="R111" s="785">
        <v>26</v>
      </c>
      <c r="S111" s="788"/>
      <c r="T111" s="783" t="s">
        <v>898</v>
      </c>
      <c r="U111" s="783"/>
      <c r="V111" s="783"/>
      <c r="W111" s="786"/>
      <c r="X111" s="786"/>
      <c r="Y111" s="786"/>
      <c r="Z111" s="784">
        <v>0.26342399999999999</v>
      </c>
      <c r="AA111" s="785">
        <v>26</v>
      </c>
    </row>
    <row r="112" spans="2:27">
      <c r="B112" s="787" t="str">
        <f>E46</f>
        <v>Eléments lourds Béton &amp; Laine minérale &amp; Briques</v>
      </c>
      <c r="C112" s="783"/>
      <c r="D112" s="783"/>
      <c r="E112" s="783"/>
      <c r="F112" s="786"/>
      <c r="G112" s="784">
        <v>800.46816800000011</v>
      </c>
      <c r="H112" s="789">
        <v>27</v>
      </c>
      <c r="I112" s="785"/>
      <c r="J112" s="786"/>
      <c r="K112" s="783" t="str">
        <f>E67</f>
        <v>Eléments lourds en béton cellulaire &amp; Sans</v>
      </c>
      <c r="L112" s="784"/>
      <c r="M112" s="783"/>
      <c r="N112" s="786"/>
      <c r="O112" s="786"/>
      <c r="P112" s="781"/>
      <c r="Q112" s="784">
        <v>49.65</v>
      </c>
      <c r="R112" s="785">
        <v>27</v>
      </c>
      <c r="S112" s="788"/>
      <c r="T112" s="787" t="str">
        <f>E52</f>
        <v>Eléments lourds Béton &amp; Laine minérale &amp; Bardage bois</v>
      </c>
      <c r="U112" s="783"/>
      <c r="V112" s="783"/>
      <c r="W112" s="786"/>
      <c r="X112" s="786"/>
      <c r="Y112" s="786"/>
      <c r="Z112" s="784">
        <v>0.26918264499999994</v>
      </c>
      <c r="AA112" s="785">
        <v>27</v>
      </c>
    </row>
    <row r="113" spans="2:27">
      <c r="B113" s="787" t="str">
        <f>E72</f>
        <v>Eléments lourds en Terre cuite &amp; Laine minérale &amp; Bardage métallique</v>
      </c>
      <c r="C113" s="783"/>
      <c r="D113" s="783"/>
      <c r="E113" s="783"/>
      <c r="F113" s="786"/>
      <c r="G113" s="784">
        <v>822.28140000000008</v>
      </c>
      <c r="H113" s="789">
        <v>28</v>
      </c>
      <c r="I113" s="785"/>
      <c r="J113" s="786"/>
      <c r="K113" s="787" t="str">
        <f>E70</f>
        <v>Eléments lourds en béton cellulaire &amp; Enduit</v>
      </c>
      <c r="L113" s="784"/>
      <c r="M113" s="783"/>
      <c r="N113" s="786"/>
      <c r="O113" s="786"/>
      <c r="P113" s="781"/>
      <c r="Q113" s="784">
        <v>53.113052400000001</v>
      </c>
      <c r="R113" s="785">
        <v>28</v>
      </c>
      <c r="S113" s="788"/>
      <c r="T113" s="783" t="s">
        <v>897</v>
      </c>
      <c r="U113" s="783"/>
      <c r="V113" s="783"/>
      <c r="W113" s="786"/>
      <c r="X113" s="786"/>
      <c r="Y113" s="786"/>
      <c r="Z113" s="784">
        <v>0.26942699999999997</v>
      </c>
      <c r="AA113" s="785">
        <v>28</v>
      </c>
    </row>
    <row r="114" spans="2:27">
      <c r="B114" s="787" t="str">
        <f>E5</f>
        <v>Caisson acier &amp; Laine minérale &amp; Briques</v>
      </c>
      <c r="C114" s="783"/>
      <c r="D114" s="783"/>
      <c r="E114" s="783"/>
      <c r="F114" s="786"/>
      <c r="G114" s="784">
        <v>836.46915999999999</v>
      </c>
      <c r="H114" s="789">
        <v>29</v>
      </c>
      <c r="I114" s="785"/>
      <c r="J114" s="786"/>
      <c r="K114" s="783" t="s">
        <v>898</v>
      </c>
      <c r="L114" s="784"/>
      <c r="M114" s="783"/>
      <c r="N114" s="786"/>
      <c r="O114" s="786"/>
      <c r="P114" s="781"/>
      <c r="Q114" s="784">
        <v>68.313600000000008</v>
      </c>
      <c r="R114" s="785">
        <v>29</v>
      </c>
      <c r="S114" s="788"/>
      <c r="T114" s="787" t="str">
        <f>E23</f>
        <v>Caisson Bois &amp; Cellulose &amp; Bardage métallique</v>
      </c>
      <c r="U114" s="783"/>
      <c r="V114" s="783"/>
      <c r="W114" s="786"/>
      <c r="X114" s="786"/>
      <c r="Y114" s="786"/>
      <c r="Z114" s="784">
        <v>0.27628598000000004</v>
      </c>
      <c r="AA114" s="785">
        <v>29</v>
      </c>
    </row>
    <row r="115" spans="2:27">
      <c r="B115" s="787" t="str">
        <f>E68</f>
        <v>Eléments lourds en béton cellulaire &amp; Bardage métallique</v>
      </c>
      <c r="C115" s="783"/>
      <c r="D115" s="783"/>
      <c r="E115" s="783"/>
      <c r="F115" s="786"/>
      <c r="G115" s="784">
        <v>919.82159999999999</v>
      </c>
      <c r="H115" s="789">
        <v>30</v>
      </c>
      <c r="I115" s="785"/>
      <c r="J115" s="786"/>
      <c r="K115" s="787" t="str">
        <f>E69</f>
        <v>Eléments lourds en béton cellulaire &amp; Briques</v>
      </c>
      <c r="L115" s="784"/>
      <c r="M115" s="783"/>
      <c r="N115" s="786"/>
      <c r="O115" s="786"/>
      <c r="P115" s="781"/>
      <c r="Q115" s="784">
        <v>68.857919999999993</v>
      </c>
      <c r="R115" s="785">
        <v>30</v>
      </c>
      <c r="S115" s="788"/>
      <c r="T115" s="787" t="str">
        <f>E15</f>
        <v>Caisson bois &amp; Laine minérale &amp; Bardage métallique</v>
      </c>
      <c r="U115" s="783"/>
      <c r="V115" s="783"/>
      <c r="W115" s="786"/>
      <c r="X115" s="786"/>
      <c r="Y115" s="786"/>
      <c r="Z115" s="784">
        <v>0.28067277999999996</v>
      </c>
      <c r="AA115" s="785">
        <v>30</v>
      </c>
    </row>
    <row r="116" spans="2:27">
      <c r="B116" s="787" t="str">
        <f>E11</f>
        <v>Caisson acier &amp; Autre isolant végétal &amp; Bardage métallique</v>
      </c>
      <c r="C116" s="783"/>
      <c r="D116" s="783"/>
      <c r="E116" s="783"/>
      <c r="F116" s="786"/>
      <c r="G116" s="784">
        <v>925.46987999999999</v>
      </c>
      <c r="H116" s="789">
        <v>31</v>
      </c>
      <c r="I116" s="785"/>
      <c r="J116" s="786"/>
      <c r="K116" s="787" t="str">
        <f>E49</f>
        <v>Eléments lourds Béton &amp; Laine minérale &amp; Enduit</v>
      </c>
      <c r="L116" s="784"/>
      <c r="M116" s="783"/>
      <c r="N116" s="786"/>
      <c r="O116" s="786"/>
      <c r="P116" s="781"/>
      <c r="Q116" s="784">
        <v>69.024252399999995</v>
      </c>
      <c r="R116" s="785">
        <v>31</v>
      </c>
      <c r="S116" s="788"/>
      <c r="T116" s="787" t="str">
        <f>E11</f>
        <v>Caisson acier &amp; Autre isolant végétal &amp; Bardage métallique</v>
      </c>
      <c r="U116" s="783"/>
      <c r="V116" s="783"/>
      <c r="W116" s="786"/>
      <c r="X116" s="786"/>
      <c r="Y116" s="786"/>
      <c r="Z116" s="784">
        <v>0.28799046</v>
      </c>
      <c r="AA116" s="785">
        <v>31</v>
      </c>
    </row>
    <row r="117" spans="2:27">
      <c r="B117" s="787" t="str">
        <f>E43</f>
        <v>Eléments lourds Béton &amp; Laine minérale &amp; Bardage métallique</v>
      </c>
      <c r="C117" s="783"/>
      <c r="D117" s="783"/>
      <c r="E117" s="783"/>
      <c r="F117" s="786"/>
      <c r="G117" s="784">
        <v>928.04720800000007</v>
      </c>
      <c r="H117" s="789">
        <v>32</v>
      </c>
      <c r="I117" s="785"/>
      <c r="J117" s="786"/>
      <c r="K117" s="787" t="str">
        <f>E68</f>
        <v>Eléments lourds en béton cellulaire &amp; Bardage métallique</v>
      </c>
      <c r="L117" s="784"/>
      <c r="M117" s="783"/>
      <c r="N117" s="786"/>
      <c r="O117" s="786"/>
      <c r="P117" s="781"/>
      <c r="Q117" s="784">
        <v>69.488910000000004</v>
      </c>
      <c r="R117" s="785">
        <v>32</v>
      </c>
      <c r="S117" s="788"/>
      <c r="T117" s="787" t="str">
        <f>E46</f>
        <v>Eléments lourds Béton &amp; Laine minérale &amp; Briques</v>
      </c>
      <c r="U117" s="783"/>
      <c r="V117" s="783"/>
      <c r="W117" s="786"/>
      <c r="X117" s="786"/>
      <c r="Y117" s="786"/>
      <c r="Z117" s="784">
        <v>0.29527551999999996</v>
      </c>
      <c r="AA117" s="785">
        <v>32</v>
      </c>
    </row>
    <row r="118" spans="2:27">
      <c r="B118" s="783" t="s">
        <v>897</v>
      </c>
      <c r="C118" s="783"/>
      <c r="D118" s="783"/>
      <c r="E118" s="783"/>
      <c r="F118" s="786"/>
      <c r="G118" s="784">
        <v>944.26319999999998</v>
      </c>
      <c r="H118" s="789">
        <v>33</v>
      </c>
      <c r="I118" s="785"/>
      <c r="J118" s="786"/>
      <c r="K118" s="787" t="str">
        <f>E46</f>
        <v>Eléments lourds Béton &amp; Laine minérale &amp; Briques</v>
      </c>
      <c r="L118" s="784"/>
      <c r="M118" s="783"/>
      <c r="N118" s="786"/>
      <c r="O118" s="786"/>
      <c r="P118" s="781"/>
      <c r="Q118" s="784">
        <v>84.769120000000001</v>
      </c>
      <c r="R118" s="785">
        <v>33</v>
      </c>
      <c r="S118" s="788"/>
      <c r="T118" s="787" t="str">
        <f>E3</f>
        <v>Caisson acier &amp; Laine minérale &amp; Bardage métallique</v>
      </c>
      <c r="U118" s="783"/>
      <c r="V118" s="783"/>
      <c r="W118" s="786"/>
      <c r="X118" s="786"/>
      <c r="Y118" s="786"/>
      <c r="Z118" s="784">
        <v>0.30432150000000002</v>
      </c>
      <c r="AA118" s="785">
        <v>33</v>
      </c>
    </row>
    <row r="119" spans="2:27">
      <c r="B119" s="787" t="str">
        <f>E3</f>
        <v>Caisson acier &amp; Laine minérale &amp; Bardage métallique</v>
      </c>
      <c r="C119" s="783"/>
      <c r="D119" s="783"/>
      <c r="E119" s="783"/>
      <c r="F119" s="786"/>
      <c r="G119" s="784">
        <v>964.04819999999995</v>
      </c>
      <c r="H119" s="789">
        <v>34</v>
      </c>
      <c r="I119" s="785"/>
      <c r="J119" s="786"/>
      <c r="K119" s="787" t="str">
        <f>E43</f>
        <v>Eléments lourds Béton &amp; Laine minérale &amp; Bardage métallique</v>
      </c>
      <c r="L119" s="784"/>
      <c r="M119" s="783"/>
      <c r="N119" s="786"/>
      <c r="O119" s="785"/>
      <c r="P119" s="786"/>
      <c r="Q119" s="784">
        <v>85.400109999999998</v>
      </c>
      <c r="R119" s="785">
        <v>34</v>
      </c>
      <c r="S119" s="788"/>
      <c r="T119" s="787" t="str">
        <f>E43</f>
        <v>Eléments lourds Béton &amp; Laine minérale &amp; Bardage métallique</v>
      </c>
      <c r="U119" s="783"/>
      <c r="V119" s="786"/>
      <c r="W119" s="786"/>
      <c r="X119" s="786"/>
      <c r="Y119" s="786"/>
      <c r="Z119" s="784">
        <v>0.35682749999999996</v>
      </c>
      <c r="AA119" s="785">
        <v>34</v>
      </c>
    </row>
    <row r="120" spans="2:27">
      <c r="M120" s="762"/>
      <c r="N120" s="784"/>
      <c r="O120" s="783"/>
      <c r="P120" s="782"/>
      <c r="Q120" s="782"/>
      <c r="R120" s="782"/>
      <c r="Z120" s="782"/>
    </row>
    <row r="121" spans="2:27">
      <c r="M121" s="762"/>
      <c r="N121" s="784"/>
      <c r="O121" s="783"/>
      <c r="P121" s="782"/>
      <c r="Q121" s="782"/>
      <c r="R121" s="782"/>
    </row>
    <row r="130" spans="6:9" customFormat="1">
      <c r="F130" s="781" t="s">
        <v>896</v>
      </c>
      <c r="G130" s="780">
        <v>29.25</v>
      </c>
    </row>
    <row r="131" spans="6:9" customFormat="1">
      <c r="F131" s="781" t="s">
        <v>895</v>
      </c>
      <c r="G131" s="780">
        <v>24.5</v>
      </c>
    </row>
    <row r="132" spans="6:9" customFormat="1">
      <c r="F132" s="781" t="s">
        <v>894</v>
      </c>
      <c r="G132" s="780">
        <v>16</v>
      </c>
    </row>
    <row r="133" spans="6:9" customFormat="1">
      <c r="F133" s="781" t="s">
        <v>893</v>
      </c>
      <c r="G133" s="780">
        <v>15.25</v>
      </c>
    </row>
    <row r="134" spans="6:9" customFormat="1">
      <c r="F134" s="781" t="s">
        <v>892</v>
      </c>
      <c r="G134" s="780">
        <v>25.5</v>
      </c>
    </row>
    <row r="135" spans="6:9" customFormat="1">
      <c r="F135" s="781" t="s">
        <v>891</v>
      </c>
      <c r="G135" s="780">
        <v>21.25</v>
      </c>
      <c r="H135">
        <f>MIN(G130:G163)</f>
        <v>4.25</v>
      </c>
    </row>
    <row r="136" spans="6:9" customFormat="1">
      <c r="F136" s="781" t="s">
        <v>890</v>
      </c>
      <c r="G136" s="780">
        <v>13</v>
      </c>
      <c r="H136">
        <f>MAX(G130:G163)</f>
        <v>33.5</v>
      </c>
    </row>
    <row r="137" spans="6:9" customFormat="1">
      <c r="F137" s="781" t="s">
        <v>889</v>
      </c>
      <c r="G137" s="780">
        <v>12.5</v>
      </c>
      <c r="H137">
        <f>H136-H135</f>
        <v>29.25</v>
      </c>
    </row>
    <row r="138" spans="6:9" customFormat="1">
      <c r="F138" s="781" t="s">
        <v>888</v>
      </c>
      <c r="G138" s="780">
        <v>18</v>
      </c>
      <c r="H138">
        <f>H137/4</f>
        <v>7.3125</v>
      </c>
    </row>
    <row r="139" spans="6:9" customFormat="1">
      <c r="F139" s="781" t="s">
        <v>887</v>
      </c>
      <c r="G139" s="780">
        <v>11.75</v>
      </c>
    </row>
    <row r="140" spans="6:9" customFormat="1">
      <c r="F140" s="781" t="s">
        <v>886</v>
      </c>
      <c r="G140" s="780">
        <v>5.75</v>
      </c>
      <c r="H140">
        <f>H135+H138</f>
        <v>11.5625</v>
      </c>
      <c r="I140" t="s">
        <v>636</v>
      </c>
    </row>
    <row r="141" spans="6:9" customFormat="1">
      <c r="F141" s="781" t="s">
        <v>885</v>
      </c>
      <c r="G141" s="780">
        <v>6</v>
      </c>
      <c r="H141">
        <f>H140+H138</f>
        <v>18.875</v>
      </c>
      <c r="I141" t="s">
        <v>638</v>
      </c>
    </row>
    <row r="142" spans="6:9" customFormat="1">
      <c r="F142" s="781" t="s">
        <v>884</v>
      </c>
      <c r="G142" s="780">
        <v>16.25</v>
      </c>
      <c r="H142">
        <f>H141+H138</f>
        <v>26.1875</v>
      </c>
      <c r="I142" t="s">
        <v>639</v>
      </c>
    </row>
    <row r="143" spans="6:9" customFormat="1">
      <c r="F143" s="781" t="s">
        <v>883</v>
      </c>
      <c r="G143" s="780">
        <v>10</v>
      </c>
    </row>
    <row r="144" spans="6:9" customFormat="1">
      <c r="F144" s="781" t="s">
        <v>882</v>
      </c>
      <c r="G144" s="780">
        <v>4.5</v>
      </c>
    </row>
    <row r="145" spans="6:7" customFormat="1">
      <c r="F145" s="781" t="s">
        <v>881</v>
      </c>
      <c r="G145" s="780">
        <v>4.25</v>
      </c>
    </row>
    <row r="146" spans="6:7" customFormat="1">
      <c r="F146" s="781" t="s">
        <v>880</v>
      </c>
      <c r="G146" s="780">
        <v>26.75</v>
      </c>
    </row>
    <row r="147" spans="6:7" customFormat="1">
      <c r="F147" s="781" t="s">
        <v>879</v>
      </c>
      <c r="G147" s="780">
        <v>26.25</v>
      </c>
    </row>
    <row r="148" spans="6:7" customFormat="1">
      <c r="F148" s="781" t="s">
        <v>878</v>
      </c>
      <c r="G148" s="780">
        <v>18</v>
      </c>
    </row>
    <row r="149" spans="6:7" customFormat="1">
      <c r="F149" s="781" t="s">
        <v>877</v>
      </c>
      <c r="G149" s="780">
        <v>6.75</v>
      </c>
    </row>
    <row r="150" spans="6:7" customFormat="1">
      <c r="F150" s="781" t="s">
        <v>876</v>
      </c>
      <c r="G150" s="780">
        <v>8.75</v>
      </c>
    </row>
    <row r="151" spans="6:7" customFormat="1">
      <c r="F151" s="781" t="s">
        <v>875</v>
      </c>
      <c r="G151" s="780">
        <v>33.5</v>
      </c>
    </row>
    <row r="152" spans="6:7" customFormat="1">
      <c r="F152" s="781" t="s">
        <v>874</v>
      </c>
      <c r="G152" s="780">
        <v>31.25</v>
      </c>
    </row>
    <row r="153" spans="6:7" customFormat="1">
      <c r="F153" s="781" t="s">
        <v>873</v>
      </c>
      <c r="G153" s="780">
        <v>25.75</v>
      </c>
    </row>
    <row r="154" spans="6:7" customFormat="1">
      <c r="F154" s="781" t="s">
        <v>872</v>
      </c>
      <c r="G154" s="780">
        <v>21.5</v>
      </c>
    </row>
    <row r="155" spans="6:7" customFormat="1">
      <c r="F155" s="781" t="s">
        <v>871</v>
      </c>
      <c r="G155" s="780">
        <v>15.75</v>
      </c>
    </row>
    <row r="156" spans="6:7" customFormat="1">
      <c r="F156" s="781" t="s">
        <v>870</v>
      </c>
      <c r="G156" s="780">
        <v>29.5</v>
      </c>
    </row>
    <row r="157" spans="6:7" customFormat="1">
      <c r="F157" s="781" t="s">
        <v>869</v>
      </c>
      <c r="G157" s="780">
        <v>23.5</v>
      </c>
    </row>
    <row r="158" spans="6:7" customFormat="1">
      <c r="F158" s="781" t="s">
        <v>868</v>
      </c>
      <c r="G158" s="780">
        <v>18</v>
      </c>
    </row>
    <row r="159" spans="6:7" customFormat="1">
      <c r="F159" s="781" t="s">
        <v>867</v>
      </c>
      <c r="G159" s="780">
        <v>12</v>
      </c>
    </row>
    <row r="160" spans="6:7" customFormat="1">
      <c r="F160" s="781" t="s">
        <v>866</v>
      </c>
      <c r="G160" s="780">
        <v>25</v>
      </c>
    </row>
    <row r="161" spans="6:7" customFormat="1">
      <c r="F161" s="781" t="s">
        <v>865</v>
      </c>
      <c r="G161" s="780">
        <v>19.5</v>
      </c>
    </row>
    <row r="162" spans="6:7" customFormat="1">
      <c r="F162" s="781" t="s">
        <v>864</v>
      </c>
      <c r="G162" s="780">
        <v>10.5</v>
      </c>
    </row>
    <row r="163" spans="6:7" customFormat="1">
      <c r="F163" s="781" t="s">
        <v>863</v>
      </c>
      <c r="G163" s="780">
        <v>9</v>
      </c>
    </row>
    <row r="173" spans="6:7" customFormat="1">
      <c r="G173" s="779"/>
    </row>
    <row r="174" spans="6:7" customFormat="1">
      <c r="G174" s="779"/>
    </row>
    <row r="175" spans="6:7" customFormat="1">
      <c r="G175" s="779"/>
    </row>
    <row r="176" spans="6:7" customFormat="1">
      <c r="G176" s="779"/>
    </row>
    <row r="177" spans="7:7" customFormat="1">
      <c r="G177" s="779"/>
    </row>
    <row r="178" spans="7:7" customFormat="1">
      <c r="G178" s="779"/>
    </row>
    <row r="179" spans="7:7" customFormat="1">
      <c r="G179" s="779"/>
    </row>
    <row r="180" spans="7:7" customFormat="1">
      <c r="G180" s="779"/>
    </row>
    <row r="181" spans="7:7" customFormat="1">
      <c r="G181" s="779"/>
    </row>
    <row r="182" spans="7:7" customFormat="1">
      <c r="G182" s="779"/>
    </row>
    <row r="183" spans="7:7" customFormat="1">
      <c r="G183" s="779"/>
    </row>
    <row r="184" spans="7:7" customFormat="1">
      <c r="G184" s="779"/>
    </row>
    <row r="185" spans="7:7" customFormat="1">
      <c r="G185" s="779"/>
    </row>
    <row r="186" spans="7:7" customFormat="1">
      <c r="G186" s="779"/>
    </row>
    <row r="187" spans="7:7" customFormat="1">
      <c r="G187" s="779"/>
    </row>
    <row r="188" spans="7:7" customFormat="1">
      <c r="G188" s="779"/>
    </row>
  </sheetData>
  <conditionalFormatting sqref="N3:N83">
    <cfRule type="cellIs" dxfId="17" priority="1" stopIfTrue="1" operator="equal">
      <formula>4</formula>
    </cfRule>
    <cfRule type="cellIs" dxfId="16" priority="2" stopIfTrue="1" operator="equal">
      <formula>3</formula>
    </cfRule>
    <cfRule type="cellIs" dxfId="15" priority="3" stopIfTrue="1" operator="equal">
      <formula>2</formula>
    </cfRule>
  </conditionalFormatting>
  <pageMargins left="0.7" right="0.7" top="0.75" bottom="0.75" header="0.3" footer="0.3"/>
  <pageSetup paperSize="9" orientation="portrait"/>
  <headerFooter alignWithMargins="0"/>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9" enableFormatConditionsCalculation="0">
    <tabColor indexed="22"/>
  </sheetPr>
  <dimension ref="A1:S192"/>
  <sheetViews>
    <sheetView topLeftCell="A11" workbookViewId="0">
      <selection activeCell="E48" sqref="E48"/>
    </sheetView>
  </sheetViews>
  <sheetFormatPr defaultColWidth="10.85546875" defaultRowHeight="12.75"/>
  <cols>
    <col min="1" max="1" width="10.85546875" style="189"/>
    <col min="2" max="2" width="15" style="189" customWidth="1"/>
    <col min="3" max="3" width="43.7109375" style="189" customWidth="1"/>
    <col min="4" max="4" width="15.140625" style="189" customWidth="1"/>
    <col min="5" max="5" width="13" style="189" customWidth="1"/>
    <col min="6" max="6" width="32.85546875" style="189" customWidth="1"/>
    <col min="7" max="7" width="8" style="189" customWidth="1"/>
    <col min="8" max="8" width="10.85546875" style="189"/>
    <col min="9" max="9" width="14.28515625" style="189" customWidth="1"/>
    <col min="10" max="10" width="26.7109375" style="189" bestFit="1" customWidth="1"/>
    <col min="11" max="11" width="9.28515625" style="189" customWidth="1"/>
    <col min="12" max="12" width="8" style="189" bestFit="1" customWidth="1"/>
    <col min="13" max="16384" width="10.85546875" style="189"/>
  </cols>
  <sheetData>
    <row r="1" spans="1:19" ht="15.75">
      <c r="B1" s="1499" t="s">
        <v>344</v>
      </c>
      <c r="C1" s="1500"/>
      <c r="D1" s="1500"/>
      <c r="E1" s="1500"/>
      <c r="F1" s="1501"/>
      <c r="H1" s="190"/>
      <c r="I1" s="190"/>
      <c r="J1" s="190"/>
      <c r="K1" s="190"/>
      <c r="L1" s="190"/>
    </row>
    <row r="2" spans="1:19" s="190" customFormat="1" ht="14.25"/>
    <row r="3" spans="1:19" s="190" customFormat="1" ht="14.25"/>
    <row r="4" spans="1:19" ht="14.25">
      <c r="B4" s="185" t="s">
        <v>341</v>
      </c>
      <c r="C4" s="185" t="s">
        <v>340</v>
      </c>
      <c r="G4" s="190"/>
      <c r="H4" s="190"/>
      <c r="I4" s="190"/>
    </row>
    <row r="5" spans="1:19" ht="14.25">
      <c r="C5" s="212" t="s">
        <v>339</v>
      </c>
      <c r="D5" s="341">
        <v>2012</v>
      </c>
      <c r="G5" s="190"/>
      <c r="H5" s="190"/>
      <c r="I5" s="190"/>
    </row>
    <row r="6" spans="1:19" ht="14.25">
      <c r="B6" s="189" t="s">
        <v>241</v>
      </c>
      <c r="C6" s="212" t="s">
        <v>338</v>
      </c>
      <c r="D6" s="342">
        <v>1.528</v>
      </c>
      <c r="E6" s="190" t="s">
        <v>313</v>
      </c>
      <c r="G6" s="190"/>
      <c r="H6" s="190"/>
      <c r="I6" s="190"/>
    </row>
    <row r="7" spans="1:19" ht="14.25">
      <c r="B7" s="189" t="s">
        <v>238</v>
      </c>
      <c r="C7" s="212" t="s">
        <v>337</v>
      </c>
      <c r="D7" s="342">
        <v>1.679</v>
      </c>
      <c r="E7" s="190" t="s">
        <v>313</v>
      </c>
      <c r="G7" s="190"/>
      <c r="H7" s="190"/>
      <c r="I7" s="190"/>
    </row>
    <row r="8" spans="1:19" ht="14.25">
      <c r="B8" s="189" t="s">
        <v>235</v>
      </c>
      <c r="C8" s="212" t="s">
        <v>336</v>
      </c>
      <c r="D8" s="342">
        <v>0.72799999999999998</v>
      </c>
      <c r="E8" s="190" t="s">
        <v>313</v>
      </c>
      <c r="G8" s="190"/>
      <c r="H8" s="190"/>
      <c r="I8" s="190"/>
    </row>
    <row r="9" spans="1:19" ht="14.25">
      <c r="E9" s="190"/>
      <c r="G9" s="190"/>
      <c r="H9" s="190"/>
      <c r="I9" s="190"/>
    </row>
    <row r="10" spans="1:19" ht="14.25">
      <c r="E10" s="190"/>
      <c r="G10" s="190"/>
      <c r="H10" s="190"/>
      <c r="I10" s="190"/>
    </row>
    <row r="11" spans="1:19" ht="14.25">
      <c r="E11" s="190"/>
      <c r="G11" s="190"/>
      <c r="H11" s="190"/>
      <c r="I11" s="190"/>
    </row>
    <row r="12" spans="1:19" ht="14.25">
      <c r="E12" s="190"/>
      <c r="G12" s="190"/>
      <c r="H12" s="190"/>
      <c r="I12" s="190"/>
    </row>
    <row r="13" spans="1:19">
      <c r="A13" s="180"/>
      <c r="B13" s="180"/>
      <c r="C13" s="180"/>
      <c r="D13" s="180"/>
      <c r="E13" s="180"/>
      <c r="F13" s="180"/>
      <c r="G13" s="180"/>
      <c r="H13" s="180"/>
      <c r="I13" s="180"/>
    </row>
    <row r="14" spans="1:19" ht="13.5" thickBot="1">
      <c r="A14" s="180"/>
      <c r="B14" s="180"/>
      <c r="C14" s="180"/>
      <c r="D14" s="180"/>
      <c r="E14" s="180"/>
      <c r="F14" s="180"/>
      <c r="G14" s="180"/>
      <c r="H14" s="180"/>
      <c r="I14" s="180"/>
    </row>
    <row r="15" spans="1:19" ht="24.75" thickBot="1">
      <c r="A15" s="462"/>
      <c r="B15" s="211" t="s">
        <v>335</v>
      </c>
      <c r="C15" s="210" t="s">
        <v>334</v>
      </c>
      <c r="D15" s="210" t="s">
        <v>333</v>
      </c>
      <c r="E15" s="209" t="s">
        <v>119</v>
      </c>
      <c r="F15" s="180"/>
      <c r="G15" s="180"/>
      <c r="H15" s="180"/>
      <c r="I15" s="180"/>
      <c r="J15" s="180"/>
      <c r="K15" s="302" t="s">
        <v>386</v>
      </c>
      <c r="L15" s="301" t="s">
        <v>385</v>
      </c>
      <c r="M15" s="301" t="s">
        <v>384</v>
      </c>
      <c r="N15" s="301" t="s">
        <v>383</v>
      </c>
      <c r="O15" s="301" t="s">
        <v>382</v>
      </c>
      <c r="P15" s="301" t="s">
        <v>381</v>
      </c>
      <c r="Q15" s="301" t="s">
        <v>380</v>
      </c>
      <c r="R15" s="301" t="s">
        <v>379</v>
      </c>
      <c r="S15" s="180"/>
    </row>
    <row r="16" spans="1:19" ht="15">
      <c r="A16" s="463" t="s">
        <v>241</v>
      </c>
      <c r="B16" s="195" t="s">
        <v>331</v>
      </c>
      <c r="C16" s="208" t="s">
        <v>330</v>
      </c>
      <c r="D16" s="468">
        <f>'5-Mobilité Data'!D6</f>
        <v>1.528</v>
      </c>
      <c r="E16" s="204" t="s">
        <v>313</v>
      </c>
      <c r="F16" s="462"/>
      <c r="G16" s="466" t="s">
        <v>329</v>
      </c>
      <c r="I16" s="180"/>
      <c r="J16" s="180"/>
      <c r="K16" s="1502" t="s">
        <v>244</v>
      </c>
      <c r="L16" s="298" t="s">
        <v>375</v>
      </c>
      <c r="M16" s="298" t="s">
        <v>374</v>
      </c>
      <c r="N16" s="298" t="s">
        <v>377</v>
      </c>
      <c r="O16" s="298" t="s">
        <v>376</v>
      </c>
      <c r="P16" s="298" t="s">
        <v>375</v>
      </c>
      <c r="Q16" s="298" t="s">
        <v>374</v>
      </c>
      <c r="R16" s="298" t="s">
        <v>373</v>
      </c>
      <c r="S16" s="180"/>
    </row>
    <row r="17" spans="1:19" ht="24">
      <c r="A17" s="462"/>
      <c r="B17" s="195" t="s">
        <v>327</v>
      </c>
      <c r="C17" s="208" t="s">
        <v>326</v>
      </c>
      <c r="D17" s="343">
        <v>0.6</v>
      </c>
      <c r="E17" s="204" t="s">
        <v>313</v>
      </c>
      <c r="F17" s="463" t="s">
        <v>1961</v>
      </c>
      <c r="G17" s="462">
        <f>PG</f>
        <v>1.528</v>
      </c>
      <c r="I17" s="180"/>
      <c r="J17" s="180"/>
      <c r="K17" s="1503"/>
      <c r="L17" s="298" t="s">
        <v>372</v>
      </c>
      <c r="M17" s="298" t="s">
        <v>372</v>
      </c>
      <c r="N17" s="298" t="s">
        <v>371</v>
      </c>
      <c r="O17" s="298" t="s">
        <v>370</v>
      </c>
      <c r="P17" s="298" t="s">
        <v>369</v>
      </c>
      <c r="Q17" s="298" t="s">
        <v>369</v>
      </c>
      <c r="R17" s="298" t="s">
        <v>368</v>
      </c>
      <c r="S17" s="180"/>
    </row>
    <row r="18" spans="1:19" ht="15">
      <c r="A18" s="463" t="s">
        <v>238</v>
      </c>
      <c r="B18" s="195" t="s">
        <v>324</v>
      </c>
      <c r="C18" s="207" t="s">
        <v>323</v>
      </c>
      <c r="D18" s="469">
        <f>'5-Mobilité Data'!D7</f>
        <v>1.679</v>
      </c>
      <c r="E18" s="204" t="s">
        <v>313</v>
      </c>
      <c r="F18" s="463" t="s">
        <v>1962</v>
      </c>
      <c r="G18" s="462">
        <f>PE</f>
        <v>1.679</v>
      </c>
      <c r="I18" s="180"/>
      <c r="J18" s="180"/>
      <c r="K18" s="195"/>
      <c r="L18" s="286"/>
      <c r="M18" s="286"/>
      <c r="N18" s="286"/>
      <c r="O18" s="284"/>
      <c r="P18" s="285"/>
      <c r="Q18" s="285"/>
      <c r="R18" s="285"/>
      <c r="S18" s="180"/>
    </row>
    <row r="19" spans="1:19" ht="15">
      <c r="A19" s="463" t="s">
        <v>235</v>
      </c>
      <c r="B19" s="195" t="s">
        <v>321</v>
      </c>
      <c r="C19" s="207" t="s">
        <v>320</v>
      </c>
      <c r="D19" s="469">
        <f>'5-Mobilité Data'!D8</f>
        <v>0.72799999999999998</v>
      </c>
      <c r="E19" s="204" t="s">
        <v>313</v>
      </c>
      <c r="F19" s="463" t="s">
        <v>1963</v>
      </c>
      <c r="G19" s="462">
        <f>PGPL</f>
        <v>0.72799999999999998</v>
      </c>
      <c r="I19" s="180"/>
      <c r="J19" s="180" t="s">
        <v>367</v>
      </c>
      <c r="K19" s="195" t="s">
        <v>366</v>
      </c>
      <c r="L19" s="286">
        <v>0.25300000000000006</v>
      </c>
      <c r="M19" s="286">
        <v>0.18699999999999997</v>
      </c>
      <c r="N19" s="286">
        <v>0.70654049630559912</v>
      </c>
      <c r="O19" s="284">
        <f>N19*100/(10.1*parD+9.2*(1-parD))*PM</f>
        <v>11.522268216959073</v>
      </c>
      <c r="P19" s="294" t="str">
        <f>IF('5-Tool Mobiliteit A'!$D$99&gt;0,('5-Tool Mobiliteit A'!$D$100*P20+'5-Tool Mobiliteit A'!$D$101*P21+'5-Tool Mobiliteit A'!$D$102*P22)/'5-Tool Mobiliteit A'!$D$99,"")</f>
        <v/>
      </c>
      <c r="Q19" s="294" t="str">
        <f>IF('5-Tool Mobiliteit A'!$D$99&gt;0,('5-Tool Mobiliteit A'!$D$100*Q20+'5-Tool Mobiliteit A'!$D$101*Q21+'5-Tool Mobiliteit A'!$D$102*Q22)/'5-Tool Mobiliteit A'!$D$99,"")</f>
        <v/>
      </c>
      <c r="R19" s="288">
        <f>CGV</f>
        <v>0.35</v>
      </c>
      <c r="S19" s="180"/>
    </row>
    <row r="20" spans="1:19" ht="15">
      <c r="A20" s="462"/>
      <c r="B20" s="195" t="s">
        <v>318</v>
      </c>
      <c r="C20" s="207" t="s">
        <v>317</v>
      </c>
      <c r="D20" s="344">
        <v>0.6</v>
      </c>
      <c r="E20" s="204"/>
      <c r="F20" s="462" t="s">
        <v>1964</v>
      </c>
      <c r="G20" s="467">
        <f>G18</f>
        <v>1.679</v>
      </c>
      <c r="I20" s="180"/>
      <c r="J20" s="292" t="s">
        <v>241</v>
      </c>
      <c r="K20" s="195" t="s">
        <v>242</v>
      </c>
      <c r="L20" s="286">
        <v>0.23833333333333337</v>
      </c>
      <c r="M20" s="286">
        <v>0.17966666666666667</v>
      </c>
      <c r="N20" s="286">
        <v>0.67036666666666656</v>
      </c>
      <c r="O20" s="284">
        <f>N20*100/10.1*PG</f>
        <v>10.141784818481847</v>
      </c>
      <c r="P20" s="291">
        <v>2.9425114031007751</v>
      </c>
      <c r="Q20" s="291">
        <v>2.6617500000000001</v>
      </c>
      <c r="R20" s="288">
        <f>CGV</f>
        <v>0.35</v>
      </c>
      <c r="S20" s="180"/>
    </row>
    <row r="21" spans="1:19" ht="15">
      <c r="A21" s="462"/>
      <c r="B21" s="195" t="s">
        <v>315</v>
      </c>
      <c r="C21" s="205" t="s">
        <v>314</v>
      </c>
      <c r="D21" s="206">
        <f>D16*D20+D18*(1-D20)</f>
        <v>1.5884</v>
      </c>
      <c r="E21" s="204" t="s">
        <v>313</v>
      </c>
      <c r="F21" s="462" t="s">
        <v>220</v>
      </c>
      <c r="G21" s="462">
        <f>G17</f>
        <v>1.528</v>
      </c>
      <c r="I21" s="180"/>
      <c r="J21" s="292" t="s">
        <v>238</v>
      </c>
      <c r="K21" s="195" t="s">
        <v>239</v>
      </c>
      <c r="L21" s="286">
        <v>0.26399999999999996</v>
      </c>
      <c r="M21" s="286">
        <v>0.19799999999999998</v>
      </c>
      <c r="N21" s="286">
        <v>0.74744999999999995</v>
      </c>
      <c r="O21" s="284">
        <f>N21*100/9.2*PE</f>
        <v>13.640962500000001</v>
      </c>
      <c r="P21" s="291">
        <v>2.8337128217054262</v>
      </c>
      <c r="Q21" s="291">
        <v>2.4250599999999998</v>
      </c>
      <c r="R21" s="288">
        <f>CGV</f>
        <v>0.35</v>
      </c>
      <c r="S21" s="180"/>
    </row>
    <row r="22" spans="1:19" ht="15">
      <c r="A22" s="462"/>
      <c r="B22" s="195" t="s">
        <v>311</v>
      </c>
      <c r="C22" s="205" t="s">
        <v>310</v>
      </c>
      <c r="D22" s="345">
        <v>0.35</v>
      </c>
      <c r="E22" s="204" t="s">
        <v>284</v>
      </c>
      <c r="F22" s="462" t="s">
        <v>1965</v>
      </c>
      <c r="G22" s="467">
        <f>C_acc/'5-Mobilité Data'!N29*10</f>
        <v>4.2310463827757232</v>
      </c>
      <c r="I22" s="180"/>
      <c r="J22" s="292" t="s">
        <v>235</v>
      </c>
      <c r="K22" s="195" t="s">
        <v>236</v>
      </c>
      <c r="L22" s="286">
        <v>0.24199999999999999</v>
      </c>
      <c r="M22" s="286">
        <v>0.16866666666666666</v>
      </c>
      <c r="N22" s="286">
        <v>0.73920000000000086</v>
      </c>
      <c r="O22" s="284">
        <f>N22*100/7*PGPL</f>
        <v>7.6876800000000092</v>
      </c>
      <c r="P22" s="291">
        <v>1.8790162976744185</v>
      </c>
      <c r="Q22" s="291">
        <v>1.5838719999999999</v>
      </c>
      <c r="R22" s="288">
        <f>CGV</f>
        <v>0.35</v>
      </c>
      <c r="S22" s="180"/>
    </row>
    <row r="23" spans="1:19" ht="15">
      <c r="A23" s="462" t="s">
        <v>229</v>
      </c>
      <c r="B23" s="195" t="s">
        <v>308</v>
      </c>
      <c r="C23" s="205" t="s">
        <v>307</v>
      </c>
      <c r="D23" s="345">
        <v>0.25</v>
      </c>
      <c r="E23" s="204" t="s">
        <v>284</v>
      </c>
      <c r="F23" s="462" t="s">
        <v>1966</v>
      </c>
      <c r="G23" s="467">
        <f>C_acc/'5-Mobilité Data'!N30*10</f>
        <v>4.1840693869283516</v>
      </c>
      <c r="I23" s="180"/>
      <c r="J23" s="290" t="s">
        <v>232</v>
      </c>
      <c r="K23" s="195" t="s">
        <v>233</v>
      </c>
      <c r="L23" s="286">
        <v>0.12650000000000003</v>
      </c>
      <c r="M23" s="286">
        <v>9.3499999999999986E-2</v>
      </c>
      <c r="N23" s="286">
        <v>0.35327024815279956</v>
      </c>
      <c r="O23" s="284">
        <f>O19/2</f>
        <v>5.7611341084795367</v>
      </c>
      <c r="P23" s="285"/>
      <c r="Q23" s="285"/>
      <c r="R23" s="288">
        <f>CGV/2</f>
        <v>0.17499999999999999</v>
      </c>
      <c r="S23" s="180"/>
    </row>
    <row r="24" spans="1:19" ht="15">
      <c r="A24" s="462"/>
      <c r="B24" s="195" t="s">
        <v>305</v>
      </c>
      <c r="C24" s="205" t="s">
        <v>300</v>
      </c>
      <c r="D24" s="205">
        <v>-4.4000000000000003E-3</v>
      </c>
      <c r="E24" s="204" t="s">
        <v>299</v>
      </c>
      <c r="F24" s="462" t="s">
        <v>1967</v>
      </c>
      <c r="G24" s="462"/>
      <c r="I24" s="180"/>
      <c r="J24" s="180" t="s">
        <v>365</v>
      </c>
      <c r="K24" s="195" t="s">
        <v>230</v>
      </c>
      <c r="L24" s="286">
        <v>0.17966666666666667</v>
      </c>
      <c r="M24" s="286">
        <v>0.12243059999999988</v>
      </c>
      <c r="N24" s="286">
        <v>0.46586986301369865</v>
      </c>
      <c r="O24" s="284">
        <f>N24*100/9.2*PE</f>
        <v>8.5021250000000013</v>
      </c>
      <c r="P24" s="285"/>
      <c r="Q24" s="285"/>
      <c r="R24" s="288">
        <f>CGM</f>
        <v>0.25</v>
      </c>
      <c r="S24" s="180"/>
    </row>
    <row r="25" spans="1:19">
      <c r="A25" s="462"/>
      <c r="B25" s="195" t="s">
        <v>303</v>
      </c>
      <c r="C25" s="205" t="s">
        <v>300</v>
      </c>
      <c r="D25" s="205">
        <v>2.2269999999999999</v>
      </c>
      <c r="E25" s="204" t="s">
        <v>299</v>
      </c>
      <c r="F25" s="180"/>
      <c r="G25" s="180"/>
      <c r="H25" s="180"/>
      <c r="I25" s="180"/>
      <c r="J25" s="180" t="s">
        <v>226</v>
      </c>
      <c r="K25" s="195" t="s">
        <v>227</v>
      </c>
      <c r="L25" s="286">
        <v>4.84280530672411E-2</v>
      </c>
      <c r="M25" s="286">
        <v>4.84280530672411E-2</v>
      </c>
      <c r="N25" s="286">
        <v>0.18626174256631226</v>
      </c>
      <c r="O25" s="284">
        <f>0.1221*100+0.9631</f>
        <v>13.173100000000002</v>
      </c>
      <c r="P25" s="285"/>
      <c r="Q25" s="285"/>
      <c r="R25" s="284">
        <f>(0.1221*100+0.9631)/100</f>
        <v>0.13173100000000001</v>
      </c>
      <c r="S25" s="180"/>
    </row>
    <row r="26" spans="1:19">
      <c r="A26" s="462"/>
      <c r="B26" s="195" t="s">
        <v>301</v>
      </c>
      <c r="C26" s="205" t="s">
        <v>300</v>
      </c>
      <c r="D26" s="205">
        <v>28.5</v>
      </c>
      <c r="E26" s="204" t="s">
        <v>299</v>
      </c>
      <c r="F26" s="180"/>
      <c r="G26" s="180"/>
      <c r="H26" s="180"/>
      <c r="I26" s="180"/>
      <c r="J26" s="180" t="s">
        <v>223</v>
      </c>
      <c r="K26" s="195" t="s">
        <v>224</v>
      </c>
      <c r="L26" s="286">
        <v>1.6142684355747033E-2</v>
      </c>
      <c r="M26" s="286">
        <v>1.6142684355747033E-2</v>
      </c>
      <c r="N26" s="286">
        <v>9.3130871283156128E-2</v>
      </c>
      <c r="O26" s="284">
        <v>13.34</v>
      </c>
      <c r="P26" s="285"/>
      <c r="Q26" s="285"/>
      <c r="R26" s="284">
        <v>0.2</v>
      </c>
      <c r="S26" s="180"/>
    </row>
    <row r="27" spans="1:19" ht="15">
      <c r="A27" s="462"/>
      <c r="B27" s="195" t="s">
        <v>297</v>
      </c>
      <c r="C27" s="205" t="s">
        <v>296</v>
      </c>
      <c r="D27" s="345">
        <v>272</v>
      </c>
      <c r="E27" s="204" t="s">
        <v>295</v>
      </c>
      <c r="F27" s="180"/>
      <c r="G27" s="180"/>
      <c r="H27" s="180"/>
      <c r="I27" s="180"/>
      <c r="J27" s="180" t="s">
        <v>220</v>
      </c>
      <c r="K27" s="195" t="s">
        <v>221</v>
      </c>
      <c r="L27" s="286">
        <v>9.8999999999999991E-2</v>
      </c>
      <c r="M27" s="286">
        <v>8.530000000000014E-2</v>
      </c>
      <c r="N27" s="286">
        <v>0.31592592592592589</v>
      </c>
      <c r="O27" s="284">
        <v>26</v>
      </c>
      <c r="P27" s="285"/>
      <c r="Q27" s="285"/>
      <c r="R27" s="284">
        <v>0.26</v>
      </c>
      <c r="S27" s="180"/>
    </row>
    <row r="28" spans="1:19" ht="15">
      <c r="A28" s="462" t="s">
        <v>220</v>
      </c>
      <c r="B28" s="195" t="s">
        <v>293</v>
      </c>
      <c r="C28" s="205" t="s">
        <v>292</v>
      </c>
      <c r="D28" s="345">
        <f>0.26/5</f>
        <v>5.2000000000000005E-2</v>
      </c>
      <c r="E28" s="204" t="s">
        <v>284</v>
      </c>
      <c r="F28" s="180"/>
      <c r="G28" s="180"/>
      <c r="H28" s="180"/>
      <c r="I28" s="180"/>
      <c r="J28" s="180" t="s">
        <v>217</v>
      </c>
      <c r="K28" s="195" t="s">
        <v>218</v>
      </c>
      <c r="L28" s="286">
        <v>0</v>
      </c>
      <c r="M28" s="286">
        <v>0</v>
      </c>
      <c r="N28" s="286">
        <v>0</v>
      </c>
      <c r="O28" s="284">
        <v>21</v>
      </c>
      <c r="P28" s="285"/>
      <c r="Q28" s="285"/>
      <c r="R28" s="284">
        <f>100/8000</f>
        <v>1.2500000000000001E-2</v>
      </c>
      <c r="S28" s="180"/>
    </row>
    <row r="29" spans="1:19" ht="15">
      <c r="A29" s="462" t="s">
        <v>214</v>
      </c>
      <c r="B29" s="195" t="s">
        <v>290</v>
      </c>
      <c r="C29" s="205" t="s">
        <v>289</v>
      </c>
      <c r="D29" s="345">
        <v>0.2</v>
      </c>
      <c r="E29" s="204" t="s">
        <v>284</v>
      </c>
      <c r="F29" s="180"/>
      <c r="G29" s="180"/>
      <c r="H29" s="180"/>
      <c r="I29" s="180"/>
      <c r="J29" s="180" t="s">
        <v>214</v>
      </c>
      <c r="K29" s="195" t="s">
        <v>215</v>
      </c>
      <c r="L29" s="286">
        <f>0.0749444396746734*44/12</f>
        <v>0.27479627880713581</v>
      </c>
      <c r="M29" s="286">
        <f>0.0343435353251228*44/12</f>
        <v>0.12592629619211693</v>
      </c>
      <c r="N29" s="286">
        <v>0.4726963070274654</v>
      </c>
      <c r="O29" s="284">
        <f>R29*100</f>
        <v>20</v>
      </c>
      <c r="P29" s="285"/>
      <c r="Q29" s="285"/>
      <c r="R29" s="284">
        <f>C_acc</f>
        <v>0.2</v>
      </c>
      <c r="S29" s="180"/>
    </row>
    <row r="30" spans="1:19" ht="15">
      <c r="A30" s="462" t="s">
        <v>211</v>
      </c>
      <c r="B30" s="195" t="s">
        <v>288</v>
      </c>
      <c r="C30" s="205" t="s">
        <v>287</v>
      </c>
      <c r="D30" s="345">
        <v>0.11</v>
      </c>
      <c r="E30" s="204" t="s">
        <v>284</v>
      </c>
      <c r="F30" s="180"/>
      <c r="G30" s="180"/>
      <c r="H30" s="180"/>
      <c r="I30" s="180"/>
      <c r="J30" s="180" t="s">
        <v>211</v>
      </c>
      <c r="K30" s="195" t="s">
        <v>212</v>
      </c>
      <c r="L30" s="286">
        <f>0.0757858847621712*44/12</f>
        <v>0.27788157746129438</v>
      </c>
      <c r="M30" s="286">
        <f>0.0347291302967054*44/12</f>
        <v>0.12734014442125313</v>
      </c>
      <c r="N30" s="286">
        <v>0.47800354512482374</v>
      </c>
      <c r="O30" s="284">
        <f>R30*100</f>
        <v>11</v>
      </c>
      <c r="P30" s="285"/>
      <c r="Q30" s="285"/>
      <c r="R30" s="284">
        <f>C_alc</f>
        <v>0.11</v>
      </c>
      <c r="S30" s="180"/>
    </row>
    <row r="31" spans="1:19" ht="15.75" thickBot="1">
      <c r="A31" s="462" t="s">
        <v>217</v>
      </c>
      <c r="B31" s="193" t="s">
        <v>286</v>
      </c>
      <c r="C31" s="203" t="s">
        <v>285</v>
      </c>
      <c r="D31" s="346">
        <f>0.21</f>
        <v>0.21</v>
      </c>
      <c r="E31" s="202" t="s">
        <v>284</v>
      </c>
      <c r="F31" s="180"/>
      <c r="G31" s="180"/>
      <c r="H31" s="180"/>
      <c r="I31" s="180"/>
      <c r="J31" s="180"/>
      <c r="K31" s="195"/>
      <c r="L31" s="286"/>
      <c r="M31" s="286"/>
      <c r="N31" s="286"/>
      <c r="O31" s="284"/>
      <c r="P31" s="285"/>
      <c r="Q31" s="285"/>
      <c r="R31" s="284"/>
      <c r="S31" s="180"/>
    </row>
    <row r="32" spans="1:19">
      <c r="A32" s="462"/>
      <c r="B32" s="180"/>
      <c r="C32" s="180"/>
      <c r="D32" s="180"/>
      <c r="E32" s="180"/>
      <c r="F32" s="180"/>
      <c r="G32" s="180"/>
      <c r="H32" s="180"/>
      <c r="I32" s="180"/>
      <c r="J32" s="180"/>
      <c r="K32" s="195"/>
      <c r="L32" s="286"/>
      <c r="M32" s="286"/>
      <c r="N32" s="286"/>
      <c r="O32" s="284"/>
      <c r="P32" s="285"/>
      <c r="Q32" s="285"/>
      <c r="R32" s="284"/>
      <c r="S32" s="180"/>
    </row>
    <row r="33" spans="1:19" ht="13.5" thickBot="1">
      <c r="A33" s="462"/>
      <c r="B33" s="462"/>
      <c r="C33" s="462"/>
      <c r="D33" s="462"/>
      <c r="E33" s="462"/>
      <c r="F33" s="180"/>
      <c r="G33" s="180"/>
      <c r="H33" s="180"/>
      <c r="I33" s="180"/>
      <c r="J33" s="180"/>
      <c r="K33" s="195"/>
      <c r="L33" s="286"/>
      <c r="M33" s="286"/>
      <c r="N33" s="286"/>
      <c r="O33" s="284"/>
      <c r="P33" s="285"/>
      <c r="Q33" s="285"/>
      <c r="R33" s="284"/>
      <c r="S33" s="180"/>
    </row>
    <row r="34" spans="1:19" ht="13.5" thickBot="1">
      <c r="A34" s="462"/>
      <c r="B34" s="201" t="s">
        <v>267</v>
      </c>
      <c r="C34" s="200" t="s">
        <v>1969</v>
      </c>
      <c r="D34" s="462"/>
      <c r="E34" s="462"/>
      <c r="F34" s="180"/>
      <c r="G34" s="180"/>
      <c r="H34" s="180"/>
      <c r="I34" s="180"/>
    </row>
    <row r="35" spans="1:19">
      <c r="A35" s="462"/>
      <c r="B35" s="199" t="s">
        <v>265</v>
      </c>
      <c r="C35" s="194" t="s">
        <v>1961</v>
      </c>
      <c r="D35" s="462"/>
      <c r="E35" s="462"/>
      <c r="F35" s="180"/>
      <c r="G35" s="180"/>
      <c r="H35" s="180"/>
      <c r="I35" s="180"/>
    </row>
    <row r="36" spans="1:19">
      <c r="A36" s="462"/>
      <c r="B36" s="199" t="s">
        <v>263</v>
      </c>
      <c r="C36" s="194" t="s">
        <v>1962</v>
      </c>
      <c r="D36" s="462"/>
      <c r="E36" s="462"/>
      <c r="F36" s="180"/>
      <c r="G36" s="180"/>
      <c r="H36" s="180"/>
      <c r="I36" s="180"/>
    </row>
    <row r="37" spans="1:19">
      <c r="A37" s="462"/>
      <c r="B37" s="199" t="s">
        <v>261</v>
      </c>
      <c r="C37" s="194" t="s">
        <v>1963</v>
      </c>
      <c r="D37" s="462"/>
      <c r="E37" s="462"/>
      <c r="F37" s="180"/>
      <c r="G37" s="180"/>
      <c r="H37" s="180"/>
      <c r="I37" s="180"/>
    </row>
    <row r="38" spans="1:19">
      <c r="A38" s="462"/>
      <c r="B38" s="199" t="s">
        <v>259</v>
      </c>
      <c r="C38" s="194" t="s">
        <v>1193</v>
      </c>
      <c r="D38" s="462"/>
      <c r="E38" s="462"/>
      <c r="F38" s="180"/>
      <c r="G38" s="180"/>
      <c r="H38" s="180"/>
      <c r="I38" s="180"/>
    </row>
    <row r="39" spans="1:19">
      <c r="A39" s="462"/>
      <c r="B39" s="199" t="s">
        <v>257</v>
      </c>
      <c r="C39" s="194" t="s">
        <v>1970</v>
      </c>
      <c r="D39" s="462"/>
      <c r="E39" s="462"/>
      <c r="F39" s="180"/>
      <c r="G39" s="180"/>
      <c r="H39" s="180"/>
      <c r="I39" s="180"/>
    </row>
    <row r="40" spans="1:19">
      <c r="A40" s="462"/>
      <c r="B40" s="199" t="s">
        <v>255</v>
      </c>
      <c r="C40" s="194" t="s">
        <v>1195</v>
      </c>
      <c r="D40" s="462"/>
      <c r="E40" s="462"/>
      <c r="F40" s="180"/>
      <c r="G40" s="180"/>
      <c r="H40" s="180"/>
      <c r="I40" s="180"/>
    </row>
    <row r="41" spans="1:19">
      <c r="A41" s="462"/>
      <c r="B41" s="199" t="s">
        <v>253</v>
      </c>
      <c r="C41" s="194" t="s">
        <v>223</v>
      </c>
      <c r="D41" s="462"/>
      <c r="E41" s="462"/>
      <c r="F41" s="180"/>
      <c r="G41" s="180"/>
      <c r="H41" s="180"/>
      <c r="I41" s="180"/>
    </row>
    <row r="42" spans="1:19">
      <c r="A42" s="462"/>
      <c r="B42" s="199" t="s">
        <v>251</v>
      </c>
      <c r="C42" s="194" t="s">
        <v>220</v>
      </c>
      <c r="D42" s="462"/>
      <c r="E42" s="462"/>
      <c r="F42" s="180"/>
      <c r="G42" s="180"/>
      <c r="H42" s="180"/>
      <c r="I42" s="180"/>
    </row>
    <row r="43" spans="1:19" ht="13.5" thickBot="1">
      <c r="A43" s="462"/>
      <c r="B43" s="198" t="s">
        <v>249</v>
      </c>
      <c r="C43" s="192" t="s">
        <v>1968</v>
      </c>
      <c r="D43" s="462"/>
      <c r="E43" s="462"/>
      <c r="F43" s="180"/>
      <c r="G43" s="180"/>
      <c r="H43" s="180"/>
      <c r="I43" s="180"/>
    </row>
    <row r="44" spans="1:19">
      <c r="A44" s="462"/>
      <c r="B44" s="462"/>
      <c r="C44" s="462"/>
      <c r="D44" s="462"/>
      <c r="E44" s="462"/>
      <c r="F44" s="180"/>
      <c r="G44" s="180"/>
      <c r="H44" s="180"/>
      <c r="I44" s="180"/>
    </row>
    <row r="45" spans="1:19">
      <c r="A45" s="462"/>
      <c r="B45" s="462"/>
      <c r="C45" s="462"/>
      <c r="D45" s="462"/>
      <c r="E45" s="462"/>
      <c r="F45" s="180"/>
      <c r="G45" s="180"/>
      <c r="H45" s="180"/>
      <c r="I45" s="180"/>
    </row>
    <row r="46" spans="1:19" ht="13.5" thickBot="1">
      <c r="A46" s="462"/>
      <c r="B46" s="462"/>
      <c r="C46" s="462"/>
      <c r="D46" s="462"/>
      <c r="E46" s="462"/>
      <c r="F46" s="180"/>
      <c r="G46" s="180"/>
      <c r="H46" s="180"/>
      <c r="I46" s="180"/>
    </row>
    <row r="47" spans="1:19" ht="13.5" thickBot="1">
      <c r="A47" s="462"/>
      <c r="B47" s="197" t="s">
        <v>244</v>
      </c>
      <c r="C47" s="196" t="s">
        <v>1971</v>
      </c>
      <c r="D47" s="462"/>
      <c r="E47" s="462"/>
      <c r="F47" s="180"/>
      <c r="G47" s="180"/>
      <c r="H47" s="180"/>
      <c r="I47" s="180"/>
    </row>
    <row r="48" spans="1:19">
      <c r="A48" s="462"/>
      <c r="B48" s="195" t="s">
        <v>242</v>
      </c>
      <c r="C48" s="194" t="s">
        <v>1961</v>
      </c>
      <c r="D48" s="462"/>
      <c r="E48" s="462"/>
      <c r="F48" s="180"/>
      <c r="G48" s="180"/>
      <c r="H48" s="180"/>
      <c r="I48" s="180"/>
    </row>
    <row r="49" spans="1:9">
      <c r="A49" s="462"/>
      <c r="B49" s="195" t="s">
        <v>239</v>
      </c>
      <c r="C49" s="194" t="s">
        <v>1962</v>
      </c>
      <c r="D49" s="462"/>
      <c r="E49" s="462"/>
      <c r="F49" s="180"/>
      <c r="G49" s="180"/>
      <c r="H49" s="180"/>
      <c r="I49" s="180"/>
    </row>
    <row r="50" spans="1:9">
      <c r="A50" s="462"/>
      <c r="B50" s="195" t="s">
        <v>236</v>
      </c>
      <c r="C50" s="194" t="s">
        <v>1963</v>
      </c>
      <c r="D50" s="462"/>
      <c r="E50" s="462"/>
      <c r="F50" s="180"/>
      <c r="G50" s="180"/>
      <c r="H50" s="180"/>
      <c r="I50" s="180"/>
    </row>
    <row r="51" spans="1:9">
      <c r="A51" s="462"/>
      <c r="B51" s="195" t="s">
        <v>233</v>
      </c>
      <c r="C51" s="194" t="s">
        <v>1193</v>
      </c>
      <c r="D51" s="462"/>
      <c r="E51" s="462"/>
      <c r="F51" s="180"/>
      <c r="G51" s="180"/>
      <c r="H51" s="180"/>
      <c r="I51" s="180"/>
    </row>
    <row r="52" spans="1:9">
      <c r="A52" s="462"/>
      <c r="B52" s="195" t="s">
        <v>230</v>
      </c>
      <c r="C52" s="194" t="s">
        <v>1970</v>
      </c>
      <c r="D52" s="462"/>
      <c r="E52" s="462"/>
      <c r="F52" s="180"/>
      <c r="G52" s="180"/>
      <c r="H52" s="180"/>
      <c r="I52" s="180"/>
    </row>
    <row r="53" spans="1:9">
      <c r="A53" s="462"/>
      <c r="B53" s="195" t="s">
        <v>227</v>
      </c>
      <c r="C53" s="194" t="s">
        <v>1195</v>
      </c>
      <c r="D53" s="462"/>
      <c r="E53" s="462"/>
      <c r="F53" s="180"/>
      <c r="G53" s="180"/>
      <c r="H53" s="180"/>
      <c r="I53" s="180"/>
    </row>
    <row r="54" spans="1:9">
      <c r="A54" s="462"/>
      <c r="B54" s="195" t="s">
        <v>224</v>
      </c>
      <c r="C54" s="194" t="s">
        <v>223</v>
      </c>
      <c r="D54" s="462"/>
      <c r="E54" s="462"/>
      <c r="F54" s="180"/>
      <c r="G54" s="180"/>
      <c r="H54" s="180"/>
      <c r="I54" s="180"/>
    </row>
    <row r="55" spans="1:9">
      <c r="A55" s="462"/>
      <c r="B55" s="195" t="s">
        <v>221</v>
      </c>
      <c r="C55" s="194" t="s">
        <v>220</v>
      </c>
      <c r="D55" s="462"/>
      <c r="E55" s="462"/>
      <c r="F55" s="180"/>
      <c r="G55" s="180"/>
      <c r="H55" s="180"/>
      <c r="I55" s="180"/>
    </row>
    <row r="56" spans="1:9">
      <c r="A56" s="462"/>
      <c r="B56" s="195" t="s">
        <v>218</v>
      </c>
      <c r="C56" s="194" t="s">
        <v>1968</v>
      </c>
      <c r="D56" s="462"/>
      <c r="E56" s="462"/>
      <c r="F56" s="180"/>
      <c r="G56" s="180"/>
      <c r="H56" s="180"/>
      <c r="I56" s="180"/>
    </row>
    <row r="57" spans="1:9">
      <c r="A57" s="462"/>
      <c r="B57" s="195" t="s">
        <v>215</v>
      </c>
      <c r="C57" s="194" t="s">
        <v>1965</v>
      </c>
      <c r="D57" s="462"/>
      <c r="E57" s="462"/>
      <c r="F57" s="180"/>
      <c r="G57" s="180"/>
      <c r="H57" s="180"/>
      <c r="I57" s="180"/>
    </row>
    <row r="58" spans="1:9" ht="13.5" thickBot="1">
      <c r="A58" s="462"/>
      <c r="B58" s="193" t="s">
        <v>212</v>
      </c>
      <c r="C58" s="192" t="s">
        <v>1966</v>
      </c>
      <c r="D58" s="462"/>
      <c r="E58" s="462"/>
      <c r="F58" s="180"/>
      <c r="G58" s="180"/>
      <c r="H58" s="180"/>
      <c r="I58" s="180"/>
    </row>
    <row r="59" spans="1:9">
      <c r="A59" s="462"/>
      <c r="B59" s="462"/>
      <c r="C59" s="462"/>
      <c r="D59" s="462"/>
      <c r="E59" s="462"/>
      <c r="F59" s="180"/>
      <c r="G59" s="180"/>
      <c r="H59" s="180"/>
      <c r="I59" s="180"/>
    </row>
    <row r="60" spans="1:9">
      <c r="A60" s="180"/>
      <c r="B60" s="180"/>
      <c r="C60" s="180"/>
      <c r="D60" s="180"/>
      <c r="E60" s="180"/>
      <c r="F60" s="180"/>
      <c r="G60" s="180"/>
      <c r="H60" s="180"/>
      <c r="I60" s="180"/>
    </row>
    <row r="61" spans="1:9">
      <c r="A61" s="180"/>
      <c r="B61" s="180"/>
      <c r="C61" s="180"/>
      <c r="D61" s="180"/>
      <c r="E61" s="180"/>
      <c r="F61" s="180"/>
      <c r="G61" s="180"/>
      <c r="H61" s="180"/>
      <c r="I61" s="180"/>
    </row>
    <row r="62" spans="1:9">
      <c r="A62" s="180"/>
      <c r="B62" s="180"/>
      <c r="C62" s="180"/>
      <c r="D62" s="180"/>
      <c r="E62" s="180"/>
      <c r="F62" s="180"/>
      <c r="G62" s="180"/>
      <c r="H62" s="180"/>
      <c r="I62" s="180"/>
    </row>
    <row r="63" spans="1:9">
      <c r="A63" s="180"/>
      <c r="B63" s="180"/>
      <c r="C63" s="180"/>
      <c r="D63" s="180"/>
      <c r="E63" s="180"/>
      <c r="F63" s="180"/>
      <c r="G63" s="180"/>
      <c r="H63" s="180"/>
      <c r="I63" s="180"/>
    </row>
    <row r="64" spans="1:9">
      <c r="A64" s="180"/>
      <c r="B64" s="180"/>
      <c r="C64" s="180"/>
      <c r="D64" s="180"/>
      <c r="E64" s="180"/>
      <c r="F64" s="180"/>
      <c r="G64" s="180"/>
      <c r="H64" s="180"/>
      <c r="I64" s="180"/>
    </row>
    <row r="65" spans="1:9">
      <c r="A65" s="180"/>
      <c r="B65" s="180"/>
      <c r="C65" s="180"/>
      <c r="D65" s="180"/>
      <c r="E65" s="180"/>
      <c r="F65" s="180"/>
      <c r="G65" s="180"/>
      <c r="H65" s="180"/>
      <c r="I65" s="180"/>
    </row>
    <row r="66" spans="1:9">
      <c r="A66" s="180"/>
      <c r="B66" s="180"/>
      <c r="C66" s="180"/>
      <c r="D66" s="180"/>
      <c r="E66" s="180"/>
      <c r="F66" s="180"/>
      <c r="G66" s="180"/>
      <c r="H66" s="180"/>
      <c r="I66" s="180"/>
    </row>
    <row r="67" spans="1:9">
      <c r="A67" s="180"/>
      <c r="B67" s="180"/>
      <c r="C67" s="180"/>
      <c r="D67" s="180"/>
      <c r="E67" s="180"/>
      <c r="F67" s="180"/>
      <c r="G67" s="180"/>
      <c r="H67" s="180"/>
      <c r="I67" s="180"/>
    </row>
    <row r="68" spans="1:9">
      <c r="A68" s="180"/>
      <c r="B68" s="180"/>
      <c r="C68" s="180"/>
      <c r="D68" s="180"/>
      <c r="E68" s="180"/>
      <c r="F68" s="180"/>
      <c r="G68" s="180"/>
      <c r="H68" s="180"/>
      <c r="I68" s="180"/>
    </row>
    <row r="69" spans="1:9">
      <c r="A69" s="180"/>
      <c r="B69" s="180"/>
      <c r="C69" s="180"/>
      <c r="D69" s="180"/>
      <c r="E69" s="180"/>
      <c r="F69" s="180"/>
      <c r="G69" s="180"/>
      <c r="H69" s="180"/>
      <c r="I69" s="180"/>
    </row>
    <row r="70" spans="1:9">
      <c r="A70" s="180"/>
      <c r="B70" s="180"/>
      <c r="C70" s="180"/>
      <c r="D70" s="180"/>
      <c r="E70" s="180"/>
      <c r="F70" s="180"/>
      <c r="G70" s="180"/>
      <c r="H70" s="180"/>
      <c r="I70" s="180"/>
    </row>
    <row r="71" spans="1:9">
      <c r="A71" s="180"/>
      <c r="B71" s="180"/>
      <c r="C71" s="180"/>
      <c r="D71" s="180"/>
      <c r="E71" s="180"/>
      <c r="F71" s="180"/>
      <c r="G71" s="180"/>
      <c r="H71" s="180"/>
      <c r="I71" s="180"/>
    </row>
    <row r="72" spans="1:9">
      <c r="A72" s="180"/>
      <c r="B72" s="180"/>
      <c r="C72" s="180"/>
      <c r="D72" s="180"/>
      <c r="E72" s="180"/>
      <c r="F72" s="180"/>
      <c r="G72" s="180"/>
      <c r="H72" s="180"/>
      <c r="I72" s="180"/>
    </row>
    <row r="73" spans="1:9">
      <c r="A73" s="180"/>
      <c r="B73" s="180"/>
      <c r="C73" s="180"/>
      <c r="D73" s="180"/>
      <c r="E73" s="180"/>
      <c r="F73" s="180"/>
      <c r="G73" s="180"/>
      <c r="H73" s="180"/>
      <c r="I73" s="180"/>
    </row>
    <row r="74" spans="1:9">
      <c r="A74" s="180"/>
      <c r="B74" s="180"/>
      <c r="C74" s="180"/>
      <c r="D74" s="180"/>
      <c r="E74" s="180"/>
      <c r="F74" s="180"/>
      <c r="G74" s="180"/>
      <c r="H74" s="180"/>
      <c r="I74" s="180"/>
    </row>
    <row r="75" spans="1:9">
      <c r="A75" s="180"/>
      <c r="B75" s="180"/>
      <c r="C75" s="180"/>
      <c r="D75" s="180"/>
      <c r="E75" s="180"/>
      <c r="F75" s="180"/>
      <c r="G75" s="180"/>
      <c r="H75" s="180"/>
      <c r="I75" s="180"/>
    </row>
    <row r="76" spans="1:9">
      <c r="A76" s="180"/>
      <c r="B76" s="180"/>
      <c r="C76" s="180"/>
      <c r="D76" s="180"/>
      <c r="E76" s="180"/>
      <c r="F76" s="180"/>
      <c r="G76" s="180"/>
      <c r="H76" s="180"/>
      <c r="I76" s="180"/>
    </row>
    <row r="77" spans="1:9">
      <c r="A77" s="180"/>
      <c r="B77" s="180"/>
      <c r="C77" s="180"/>
      <c r="D77" s="180"/>
      <c r="E77" s="180"/>
      <c r="F77" s="180"/>
      <c r="G77" s="180"/>
      <c r="H77" s="180"/>
      <c r="I77" s="180"/>
    </row>
    <row r="78" spans="1:9">
      <c r="A78" s="180"/>
      <c r="B78" s="180"/>
      <c r="C78" s="180"/>
      <c r="D78" s="180"/>
      <c r="E78" s="180"/>
      <c r="F78" s="180"/>
      <c r="G78" s="180"/>
      <c r="H78" s="180"/>
      <c r="I78" s="180"/>
    </row>
    <row r="79" spans="1:9">
      <c r="A79" s="180"/>
      <c r="B79" s="180"/>
      <c r="C79" s="180"/>
      <c r="D79" s="180"/>
      <c r="E79" s="180"/>
      <c r="F79" s="180"/>
      <c r="G79" s="180"/>
      <c r="H79" s="180"/>
      <c r="I79" s="180"/>
    </row>
    <row r="80" spans="1:9">
      <c r="A80" s="180"/>
      <c r="B80" s="180"/>
      <c r="C80" s="180"/>
      <c r="D80" s="180"/>
      <c r="E80" s="180"/>
      <c r="F80" s="180"/>
      <c r="G80" s="180"/>
      <c r="H80" s="180"/>
      <c r="I80" s="180"/>
    </row>
    <row r="81" spans="1:13">
      <c r="A81" s="180"/>
      <c r="B81" s="180"/>
      <c r="C81" s="180"/>
      <c r="D81" s="180"/>
      <c r="E81" s="180"/>
      <c r="F81" s="180"/>
      <c r="G81" s="180"/>
      <c r="H81" s="180"/>
      <c r="I81" s="180"/>
    </row>
    <row r="82" spans="1:13">
      <c r="A82" s="180"/>
      <c r="B82" s="180"/>
      <c r="C82" s="180"/>
      <c r="D82" s="180"/>
      <c r="E82" s="180"/>
      <c r="F82" s="180"/>
      <c r="G82" s="180"/>
      <c r="H82" s="180"/>
      <c r="I82" s="180"/>
    </row>
    <row r="83" spans="1:13">
      <c r="A83" s="180"/>
      <c r="B83" s="180"/>
      <c r="C83" s="180"/>
      <c r="D83" s="180"/>
      <c r="E83" s="180"/>
      <c r="F83" s="180"/>
      <c r="G83" s="180"/>
      <c r="H83" s="180"/>
      <c r="I83" s="180"/>
    </row>
    <row r="84" spans="1:13">
      <c r="A84" s="180"/>
      <c r="B84" s="180"/>
      <c r="C84" s="180"/>
      <c r="D84" s="180"/>
      <c r="E84" s="180"/>
      <c r="F84" s="180"/>
      <c r="G84" s="180"/>
      <c r="H84" s="180"/>
      <c r="I84" s="180"/>
    </row>
    <row r="85" spans="1:13">
      <c r="A85" s="180"/>
      <c r="B85" s="180"/>
      <c r="C85" s="180"/>
      <c r="D85" s="180"/>
      <c r="E85" s="180"/>
      <c r="F85" s="180"/>
      <c r="G85" s="180"/>
      <c r="H85" s="180"/>
      <c r="I85" s="180"/>
    </row>
    <row r="86" spans="1:13">
      <c r="A86" s="180"/>
      <c r="B86" s="180"/>
      <c r="C86" s="180"/>
      <c r="D86" s="180"/>
      <c r="E86" s="180"/>
      <c r="F86" s="180"/>
      <c r="G86" s="180"/>
      <c r="H86" s="180"/>
      <c r="I86" s="180"/>
    </row>
    <row r="87" spans="1:13">
      <c r="A87" s="180"/>
      <c r="B87" s="180"/>
      <c r="C87" s="180"/>
      <c r="D87" s="180"/>
      <c r="E87" s="180"/>
      <c r="F87" s="180"/>
      <c r="G87" s="180"/>
      <c r="H87" s="180"/>
      <c r="I87" s="180"/>
    </row>
    <row r="88" spans="1:13">
      <c r="A88" s="180"/>
      <c r="B88" s="180"/>
      <c r="C88" s="180"/>
      <c r="D88" s="180"/>
      <c r="E88" s="180"/>
      <c r="F88" s="180"/>
      <c r="G88" s="180"/>
      <c r="H88" s="180"/>
      <c r="I88" s="180"/>
    </row>
    <row r="89" spans="1:13">
      <c r="A89" s="180"/>
      <c r="B89" s="180"/>
      <c r="C89" s="180"/>
      <c r="D89" s="180"/>
      <c r="E89" s="180"/>
      <c r="F89" s="180"/>
      <c r="G89" s="180"/>
      <c r="H89" s="180"/>
      <c r="I89" s="180"/>
    </row>
    <row r="90" spans="1:13">
      <c r="A90" s="180"/>
      <c r="B90" s="180"/>
      <c r="C90" s="180"/>
      <c r="D90" s="180"/>
      <c r="E90" s="180"/>
      <c r="F90" s="180"/>
      <c r="G90" s="180"/>
      <c r="H90" s="180"/>
      <c r="I90" s="180"/>
    </row>
    <row r="91" spans="1:13">
      <c r="A91" s="180"/>
      <c r="B91" s="180"/>
      <c r="C91" s="180"/>
      <c r="D91" s="180"/>
      <c r="E91" s="180"/>
      <c r="F91" s="180"/>
      <c r="G91" s="180"/>
      <c r="H91" s="180"/>
      <c r="I91" s="180"/>
    </row>
    <row r="92" spans="1:13">
      <c r="A92" s="180"/>
      <c r="B92" s="180"/>
      <c r="C92" s="180"/>
      <c r="D92" s="180"/>
      <c r="E92" s="180"/>
      <c r="F92" s="180"/>
      <c r="G92" s="180"/>
      <c r="H92" s="180"/>
      <c r="I92" s="180"/>
      <c r="J92" s="180"/>
      <c r="K92" s="180"/>
      <c r="L92" s="180"/>
      <c r="M92" s="180"/>
    </row>
    <row r="93" spans="1:13">
      <c r="A93" s="180"/>
      <c r="B93" s="180"/>
      <c r="C93" s="180"/>
      <c r="D93" s="180"/>
      <c r="E93" s="180"/>
      <c r="F93" s="180"/>
      <c r="G93" s="180"/>
      <c r="H93" s="180"/>
      <c r="I93" s="180"/>
      <c r="J93" s="180"/>
      <c r="K93" s="180"/>
      <c r="L93" s="180"/>
      <c r="M93" s="180"/>
    </row>
    <row r="94" spans="1:13">
      <c r="A94" s="180"/>
      <c r="B94" s="180"/>
      <c r="C94" s="180"/>
      <c r="D94" s="180"/>
      <c r="E94" s="180"/>
      <c r="F94" s="180"/>
      <c r="G94" s="180"/>
      <c r="H94" s="180"/>
      <c r="I94" s="180"/>
      <c r="J94" s="180"/>
      <c r="K94" s="180"/>
      <c r="L94" s="180"/>
      <c r="M94" s="180"/>
    </row>
    <row r="95" spans="1:13">
      <c r="A95" s="180"/>
      <c r="B95" s="180"/>
      <c r="C95" s="180"/>
      <c r="D95" s="180"/>
      <c r="E95" s="180"/>
      <c r="F95" s="180"/>
      <c r="G95" s="180"/>
      <c r="H95" s="180"/>
      <c r="I95" s="180"/>
      <c r="J95" s="180"/>
      <c r="K95" s="180"/>
      <c r="L95" s="180"/>
      <c r="M95" s="180"/>
    </row>
    <row r="96" spans="1:13">
      <c r="A96" s="180"/>
      <c r="B96" s="180"/>
      <c r="C96" s="180"/>
      <c r="D96" s="180"/>
      <c r="E96" s="180"/>
      <c r="F96" s="180"/>
      <c r="G96" s="180"/>
      <c r="H96" s="180"/>
      <c r="I96" s="180"/>
      <c r="J96" s="180"/>
      <c r="K96" s="180"/>
      <c r="L96" s="180"/>
      <c r="M96" s="180"/>
    </row>
    <row r="97" spans="1:13">
      <c r="A97" s="180"/>
      <c r="B97" s="180"/>
      <c r="C97" s="180"/>
      <c r="D97" s="180"/>
      <c r="E97" s="180"/>
      <c r="F97" s="180"/>
      <c r="G97" s="180"/>
      <c r="H97" s="180"/>
      <c r="I97" s="180"/>
      <c r="J97" s="180"/>
      <c r="K97" s="180"/>
      <c r="L97" s="180"/>
      <c r="M97" s="180"/>
    </row>
    <row r="98" spans="1:13">
      <c r="A98" s="180"/>
      <c r="B98" s="180"/>
      <c r="C98" s="180"/>
      <c r="D98" s="180"/>
      <c r="E98" s="180"/>
      <c r="F98" s="180"/>
      <c r="G98" s="180"/>
      <c r="H98" s="180"/>
      <c r="I98" s="180"/>
      <c r="J98" s="180"/>
      <c r="K98" s="180"/>
      <c r="L98" s="180"/>
      <c r="M98" s="180"/>
    </row>
    <row r="99" spans="1:13" ht="14.25">
      <c r="F99" s="190"/>
    </row>
    <row r="100" spans="1:13" ht="14.25">
      <c r="F100" s="190"/>
    </row>
    <row r="101" spans="1:13" ht="14.25">
      <c r="F101" s="190"/>
    </row>
    <row r="102" spans="1:13" ht="14.25">
      <c r="F102" s="190"/>
    </row>
    <row r="103" spans="1:13" ht="14.25">
      <c r="F103" s="190"/>
    </row>
    <row r="104" spans="1:13" ht="14.25">
      <c r="F104" s="190"/>
    </row>
    <row r="105" spans="1:13" ht="14.25">
      <c r="F105" s="190"/>
    </row>
    <row r="106" spans="1:13" ht="14.25">
      <c r="I106" s="190"/>
    </row>
    <row r="107" spans="1:13" ht="14.25">
      <c r="I107" s="190"/>
    </row>
    <row r="108" spans="1:13" ht="14.25">
      <c r="I108" s="190"/>
    </row>
    <row r="109" spans="1:13" ht="14.25">
      <c r="I109" s="190"/>
    </row>
    <row r="110" spans="1:13" ht="14.25">
      <c r="I110" s="190"/>
    </row>
    <row r="111" spans="1:13" ht="14.25">
      <c r="I111" s="190"/>
    </row>
    <row r="112" spans="1:13" ht="14.25">
      <c r="I112" s="190"/>
    </row>
    <row r="113" spans="9:9" ht="14.25">
      <c r="I113" s="190"/>
    </row>
    <row r="114" spans="9:9" ht="14.25">
      <c r="I114" s="190"/>
    </row>
    <row r="115" spans="9:9" ht="14.25">
      <c r="I115" s="190"/>
    </row>
    <row r="116" spans="9:9" ht="14.25">
      <c r="I116" s="190"/>
    </row>
    <row r="117" spans="9:9" ht="14.25">
      <c r="I117" s="190"/>
    </row>
    <row r="118" spans="9:9" ht="14.25">
      <c r="I118" s="190"/>
    </row>
    <row r="119" spans="9:9" ht="14.25">
      <c r="I119" s="190"/>
    </row>
    <row r="120" spans="9:9" ht="14.25">
      <c r="I120" s="190"/>
    </row>
    <row r="121" spans="9:9" ht="14.25">
      <c r="I121" s="190"/>
    </row>
    <row r="122" spans="9:9" ht="14.25">
      <c r="I122" s="190"/>
    </row>
    <row r="123" spans="9:9" ht="14.25">
      <c r="I123" s="190"/>
    </row>
    <row r="124" spans="9:9" ht="14.25">
      <c r="I124" s="190"/>
    </row>
    <row r="125" spans="9:9" ht="14.25">
      <c r="I125" s="190"/>
    </row>
    <row r="126" spans="9:9" ht="14.25">
      <c r="I126" s="190"/>
    </row>
    <row r="127" spans="9:9" ht="14.25">
      <c r="I127" s="190"/>
    </row>
    <row r="128" spans="9:9" ht="14.25">
      <c r="I128" s="190"/>
    </row>
    <row r="129" spans="9:9" ht="14.25">
      <c r="I129" s="190"/>
    </row>
    <row r="130" spans="9:9" ht="14.25">
      <c r="I130" s="190"/>
    </row>
    <row r="131" spans="9:9" ht="14.25">
      <c r="I131" s="190"/>
    </row>
    <row r="132" spans="9:9" ht="14.25">
      <c r="I132" s="190"/>
    </row>
    <row r="133" spans="9:9" ht="14.25">
      <c r="I133" s="190"/>
    </row>
    <row r="134" spans="9:9" ht="14.25">
      <c r="I134" s="190"/>
    </row>
    <row r="135" spans="9:9" ht="14.25">
      <c r="I135" s="190"/>
    </row>
    <row r="136" spans="9:9" ht="14.25">
      <c r="I136" s="190"/>
    </row>
    <row r="137" spans="9:9" ht="14.25">
      <c r="I137" s="190"/>
    </row>
    <row r="138" spans="9:9" ht="14.25">
      <c r="I138" s="190"/>
    </row>
    <row r="139" spans="9:9" ht="14.25">
      <c r="I139" s="190"/>
    </row>
    <row r="140" spans="9:9" ht="14.25">
      <c r="I140" s="190"/>
    </row>
    <row r="141" spans="9:9" ht="14.25">
      <c r="I141" s="190"/>
    </row>
    <row r="142" spans="9:9" ht="14.25">
      <c r="I142" s="190"/>
    </row>
    <row r="143" spans="9:9" ht="14.25">
      <c r="I143" s="190"/>
    </row>
    <row r="144" spans="9:9" ht="14.25">
      <c r="I144" s="190"/>
    </row>
    <row r="145" spans="9:9" ht="14.25">
      <c r="I145" s="190"/>
    </row>
    <row r="146" spans="9:9" ht="14.25">
      <c r="I146" s="190"/>
    </row>
    <row r="147" spans="9:9" ht="14.25">
      <c r="I147" s="190"/>
    </row>
    <row r="148" spans="9:9" ht="14.25">
      <c r="I148" s="190"/>
    </row>
    <row r="149" spans="9:9" ht="14.25">
      <c r="I149" s="190"/>
    </row>
    <row r="150" spans="9:9" ht="14.25">
      <c r="I150" s="190"/>
    </row>
    <row r="151" spans="9:9" ht="14.25">
      <c r="I151" s="190"/>
    </row>
    <row r="152" spans="9:9" ht="14.25">
      <c r="I152" s="190"/>
    </row>
    <row r="153" spans="9:9" ht="14.25">
      <c r="I153" s="190"/>
    </row>
    <row r="154" spans="9:9" ht="14.25">
      <c r="I154" s="190"/>
    </row>
    <row r="155" spans="9:9" ht="14.25">
      <c r="I155" s="190"/>
    </row>
    <row r="156" spans="9:9" ht="14.25">
      <c r="I156" s="190"/>
    </row>
    <row r="157" spans="9:9" ht="14.25">
      <c r="I157" s="190"/>
    </row>
    <row r="158" spans="9:9" ht="14.25">
      <c r="I158" s="190"/>
    </row>
    <row r="159" spans="9:9" ht="14.25">
      <c r="I159" s="190"/>
    </row>
    <row r="160" spans="9:9" ht="14.25">
      <c r="I160" s="190"/>
    </row>
    <row r="161" spans="9:9" ht="14.25">
      <c r="I161" s="190"/>
    </row>
    <row r="162" spans="9:9" ht="14.25">
      <c r="I162" s="190"/>
    </row>
    <row r="163" spans="9:9" ht="14.25">
      <c r="I163" s="190"/>
    </row>
    <row r="164" spans="9:9" ht="14.25">
      <c r="I164" s="190"/>
    </row>
    <row r="165" spans="9:9" ht="14.25">
      <c r="I165" s="190"/>
    </row>
    <row r="166" spans="9:9" ht="14.25">
      <c r="I166" s="190"/>
    </row>
    <row r="167" spans="9:9" ht="14.25">
      <c r="I167" s="190"/>
    </row>
    <row r="168" spans="9:9" ht="14.25">
      <c r="I168" s="190"/>
    </row>
    <row r="169" spans="9:9" ht="14.25">
      <c r="I169" s="190"/>
    </row>
    <row r="170" spans="9:9" ht="14.25">
      <c r="I170" s="190"/>
    </row>
    <row r="171" spans="9:9" ht="14.25">
      <c r="I171" s="190"/>
    </row>
    <row r="172" spans="9:9" ht="14.25">
      <c r="I172" s="190"/>
    </row>
    <row r="173" spans="9:9" ht="14.25">
      <c r="I173" s="190"/>
    </row>
    <row r="174" spans="9:9" ht="14.25">
      <c r="I174" s="190"/>
    </row>
    <row r="175" spans="9:9" ht="14.25">
      <c r="I175" s="190"/>
    </row>
    <row r="176" spans="9:9" ht="14.25">
      <c r="I176" s="190"/>
    </row>
    <row r="177" spans="9:9" ht="14.25">
      <c r="I177" s="190"/>
    </row>
    <row r="178" spans="9:9" ht="14.25">
      <c r="I178" s="190"/>
    </row>
    <row r="179" spans="9:9" ht="14.25">
      <c r="I179" s="190"/>
    </row>
    <row r="180" spans="9:9" ht="14.25">
      <c r="I180" s="190"/>
    </row>
    <row r="181" spans="9:9" ht="14.25">
      <c r="I181" s="190"/>
    </row>
    <row r="182" spans="9:9" ht="14.25">
      <c r="I182" s="190"/>
    </row>
    <row r="183" spans="9:9" ht="14.25">
      <c r="I183" s="190"/>
    </row>
    <row r="184" spans="9:9" ht="14.25">
      <c r="I184" s="190"/>
    </row>
    <row r="185" spans="9:9" ht="14.25">
      <c r="I185" s="190"/>
    </row>
    <row r="186" spans="9:9" ht="14.25">
      <c r="I186" s="190"/>
    </row>
    <row r="187" spans="9:9" ht="14.25">
      <c r="I187" s="190"/>
    </row>
    <row r="188" spans="9:9" ht="14.25">
      <c r="I188" s="190"/>
    </row>
    <row r="189" spans="9:9" ht="14.25">
      <c r="I189" s="190"/>
    </row>
    <row r="190" spans="9:9" ht="14.25">
      <c r="I190" s="190"/>
    </row>
    <row r="191" spans="9:9" ht="14.25">
      <c r="I191" s="190"/>
    </row>
    <row r="192" spans="9:9" ht="14.25">
      <c r="I192" s="190"/>
    </row>
  </sheetData>
  <mergeCells count="2">
    <mergeCell ref="B1:F1"/>
    <mergeCell ref="K16:K17"/>
  </mergeCells>
  <hyperlinks>
    <hyperlink ref="B4" r:id="rId1"/>
    <hyperlink ref="C4" r:id="rId2"/>
  </hyperlinks>
  <pageMargins left="0.78740157499999996" right="0.78740157499999996" top="0.984251969" bottom="0.984251969" header="0.5" footer="0.5"/>
  <pageSetup paperSize="9" orientation="portrait" horizontalDpi="4294967292" verticalDpi="4294967292"/>
  <headerFooter alignWithMargins="0"/>
  <legacyDrawing r:id="rId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0" enableFormatConditionsCalculation="0"/>
  <dimension ref="A1:AC143"/>
  <sheetViews>
    <sheetView showGridLines="0" topLeftCell="A79" zoomScale="85" zoomScaleNormal="85" workbookViewId="0">
      <selection activeCell="E16" sqref="E16"/>
    </sheetView>
  </sheetViews>
  <sheetFormatPr defaultColWidth="11.42578125" defaultRowHeight="12"/>
  <cols>
    <col min="1" max="1" width="12.28515625" style="180" customWidth="1"/>
    <col min="2" max="2" width="24.28515625" style="180" customWidth="1"/>
    <col min="3" max="3" width="25.42578125" style="180" customWidth="1"/>
    <col min="4" max="4" width="16.140625" style="180" customWidth="1"/>
    <col min="5" max="5" width="14" style="180" customWidth="1"/>
    <col min="6" max="6" width="14.140625" style="180" customWidth="1"/>
    <col min="7" max="7" width="13.85546875" style="180" customWidth="1"/>
    <col min="8" max="8" width="12.42578125" style="180" customWidth="1"/>
    <col min="9" max="9" width="12.7109375" style="180" customWidth="1"/>
    <col min="10" max="10" width="12.85546875" style="180" bestFit="1" customWidth="1"/>
    <col min="11" max="11" width="26" style="180" bestFit="1" customWidth="1"/>
    <col min="12" max="12" width="11.42578125" style="180"/>
    <col min="13" max="13" width="23.42578125" style="180" customWidth="1"/>
    <col min="14" max="16" width="11.42578125" style="180"/>
    <col min="17" max="17" width="17.85546875" style="180" customWidth="1"/>
    <col min="18" max="18" width="11.42578125" style="180"/>
    <col min="19" max="20" width="9.85546875" style="180" customWidth="1"/>
    <col min="21" max="21" width="8.42578125" style="180" customWidth="1"/>
    <col min="22" max="22" width="7.42578125" style="180" customWidth="1"/>
    <col min="23" max="23" width="9.7109375" style="180" customWidth="1"/>
    <col min="24" max="24" width="10.28515625" style="180" customWidth="1"/>
    <col min="25" max="16384" width="11.42578125" style="180"/>
  </cols>
  <sheetData>
    <row r="1" spans="1:11" ht="21.75" customHeight="1" thickBot="1">
      <c r="A1" s="989"/>
      <c r="B1" s="989"/>
      <c r="C1" s="989"/>
      <c r="D1" s="989"/>
      <c r="E1" s="989"/>
      <c r="F1" s="989"/>
      <c r="G1" s="989"/>
      <c r="H1" s="989"/>
      <c r="I1" s="989"/>
      <c r="J1" s="989"/>
      <c r="K1" s="989"/>
    </row>
    <row r="2" spans="1:11" ht="27.75" thickBot="1">
      <c r="A2" s="989"/>
      <c r="B2" s="1520" t="s">
        <v>1165</v>
      </c>
      <c r="C2" s="1521"/>
      <c r="D2" s="1521"/>
      <c r="E2" s="1521"/>
      <c r="F2" s="1521"/>
      <c r="G2" s="1521"/>
      <c r="H2" s="1522"/>
      <c r="I2" s="989"/>
      <c r="J2" s="989"/>
      <c r="K2" s="989"/>
    </row>
    <row r="3" spans="1:11" ht="12.75" thickBot="1">
      <c r="A3" s="989"/>
      <c r="B3" s="989"/>
      <c r="C3" s="989"/>
      <c r="D3" s="989"/>
      <c r="E3" s="989"/>
      <c r="F3" s="989"/>
      <c r="G3" s="989"/>
      <c r="H3" s="989"/>
      <c r="I3" s="989"/>
      <c r="J3" s="989"/>
      <c r="K3" s="989"/>
    </row>
    <row r="4" spans="1:11" ht="16.5" thickBot="1">
      <c r="A4" s="989"/>
      <c r="B4" s="1515" t="s">
        <v>1177</v>
      </c>
      <c r="C4" s="1516"/>
      <c r="D4" s="1516"/>
      <c r="E4" s="1516"/>
      <c r="F4" s="1516"/>
      <c r="G4" s="1516"/>
      <c r="H4" s="1517"/>
      <c r="I4" s="989"/>
      <c r="J4" s="989"/>
      <c r="K4" s="989"/>
    </row>
    <row r="5" spans="1:11" ht="13.5" thickBot="1">
      <c r="A5" s="989"/>
      <c r="B5" s="1512" t="s">
        <v>1166</v>
      </c>
      <c r="C5" s="1513"/>
      <c r="D5" s="1513"/>
      <c r="E5" s="1513"/>
      <c r="F5" s="1513"/>
      <c r="G5" s="1513"/>
      <c r="H5" s="1514"/>
      <c r="I5" s="989"/>
      <c r="J5" s="989"/>
      <c r="K5" s="989"/>
    </row>
    <row r="6" spans="1:11" ht="36.75" thickBot="1">
      <c r="A6" s="989"/>
      <c r="B6" s="835" t="s">
        <v>1179</v>
      </c>
      <c r="C6" s="836" t="s">
        <v>1180</v>
      </c>
      <c r="D6" s="836" t="s">
        <v>1167</v>
      </c>
      <c r="E6" s="836" t="s">
        <v>1168</v>
      </c>
      <c r="F6" s="836" t="s">
        <v>1169</v>
      </c>
      <c r="G6" s="836" t="s">
        <v>1170</v>
      </c>
      <c r="H6" s="837" t="s">
        <v>1171</v>
      </c>
      <c r="I6" s="989"/>
      <c r="J6" s="989"/>
      <c r="K6" s="989"/>
    </row>
    <row r="7" spans="1:11">
      <c r="A7" s="989"/>
      <c r="B7" s="990" t="s">
        <v>1172</v>
      </c>
      <c r="C7" s="1146"/>
      <c r="D7" s="992"/>
      <c r="E7" s="1147"/>
      <c r="F7" s="310">
        <f t="shared" ref="F7:F20" si="0">D7*2*E7*220</f>
        <v>0</v>
      </c>
      <c r="G7" s="996"/>
      <c r="H7" s="309">
        <f t="shared" ref="H7:H20" si="1">IF(LEFT(C7,7)="voiture",F7*CGV,IF(C7="covoiturage",F7*CGV/2,IF(C7="motos",F7*CGM,IF(C7="bus",F7*Cbus,IF(C7="train",IF(D7=0,0,IF(D7&lt;150,11*(a_train*D7^2+b_train*D7+c_train),11*d_train)),0)))))</f>
        <v>0</v>
      </c>
      <c r="I7" s="989"/>
      <c r="J7" s="989"/>
      <c r="K7" s="989"/>
    </row>
    <row r="8" spans="1:11">
      <c r="A8" s="989"/>
      <c r="B8" s="990"/>
      <c r="C8" s="1146"/>
      <c r="D8" s="992"/>
      <c r="E8" s="1147"/>
      <c r="F8" s="310">
        <f t="shared" si="0"/>
        <v>0</v>
      </c>
      <c r="G8" s="996"/>
      <c r="H8" s="309">
        <f t="shared" si="1"/>
        <v>0</v>
      </c>
      <c r="I8" s="989"/>
      <c r="J8" s="989"/>
      <c r="K8" s="989"/>
    </row>
    <row r="9" spans="1:11">
      <c r="A9" s="989"/>
      <c r="B9" s="990"/>
      <c r="C9" s="1146"/>
      <c r="D9" s="992"/>
      <c r="E9" s="1147"/>
      <c r="F9" s="310">
        <f t="shared" si="0"/>
        <v>0</v>
      </c>
      <c r="G9" s="996"/>
      <c r="H9" s="309">
        <f t="shared" si="1"/>
        <v>0</v>
      </c>
      <c r="I9" s="989"/>
      <c r="J9" s="989"/>
      <c r="K9" s="989"/>
    </row>
    <row r="10" spans="1:11">
      <c r="A10" s="989"/>
      <c r="B10" s="990"/>
      <c r="C10" s="1146"/>
      <c r="D10" s="992"/>
      <c r="E10" s="1147"/>
      <c r="F10" s="310">
        <f t="shared" si="0"/>
        <v>0</v>
      </c>
      <c r="G10" s="996"/>
      <c r="H10" s="309">
        <f t="shared" si="1"/>
        <v>0</v>
      </c>
      <c r="I10" s="989"/>
      <c r="J10" s="989"/>
      <c r="K10" s="989"/>
    </row>
    <row r="11" spans="1:11">
      <c r="A11" s="989"/>
      <c r="B11" s="990"/>
      <c r="C11" s="1146"/>
      <c r="D11" s="992"/>
      <c r="E11" s="1147"/>
      <c r="F11" s="310">
        <f t="shared" si="0"/>
        <v>0</v>
      </c>
      <c r="G11" s="996"/>
      <c r="H11" s="309">
        <f t="shared" si="1"/>
        <v>0</v>
      </c>
      <c r="I11" s="989"/>
      <c r="J11" s="989"/>
      <c r="K11" s="989"/>
    </row>
    <row r="12" spans="1:11">
      <c r="A12" s="989"/>
      <c r="B12" s="990"/>
      <c r="C12" s="1146"/>
      <c r="D12" s="992"/>
      <c r="E12" s="1147"/>
      <c r="F12" s="310">
        <f t="shared" si="0"/>
        <v>0</v>
      </c>
      <c r="G12" s="996"/>
      <c r="H12" s="309">
        <f t="shared" si="1"/>
        <v>0</v>
      </c>
      <c r="I12" s="989"/>
      <c r="J12" s="989"/>
      <c r="K12" s="989"/>
    </row>
    <row r="13" spans="1:11">
      <c r="A13" s="989"/>
      <c r="B13" s="990"/>
      <c r="C13" s="1146"/>
      <c r="D13" s="992"/>
      <c r="E13" s="1147"/>
      <c r="F13" s="310">
        <f t="shared" si="0"/>
        <v>0</v>
      </c>
      <c r="G13" s="996"/>
      <c r="H13" s="309">
        <f t="shared" si="1"/>
        <v>0</v>
      </c>
      <c r="I13" s="989"/>
      <c r="J13" s="989"/>
      <c r="K13" s="989"/>
    </row>
    <row r="14" spans="1:11">
      <c r="A14" s="989"/>
      <c r="B14" s="990"/>
      <c r="C14" s="1146"/>
      <c r="D14" s="992"/>
      <c r="E14" s="1147"/>
      <c r="F14" s="310">
        <f t="shared" si="0"/>
        <v>0</v>
      </c>
      <c r="G14" s="996"/>
      <c r="H14" s="309">
        <f t="shared" si="1"/>
        <v>0</v>
      </c>
      <c r="I14" s="989"/>
      <c r="J14" s="989"/>
      <c r="K14" s="989"/>
    </row>
    <row r="15" spans="1:11">
      <c r="A15" s="989"/>
      <c r="B15" s="990"/>
      <c r="C15" s="1146"/>
      <c r="D15" s="992"/>
      <c r="E15" s="1147"/>
      <c r="F15" s="310">
        <f t="shared" si="0"/>
        <v>0</v>
      </c>
      <c r="G15" s="996"/>
      <c r="H15" s="309">
        <f t="shared" si="1"/>
        <v>0</v>
      </c>
      <c r="I15" s="989"/>
      <c r="J15" s="989"/>
      <c r="K15" s="989"/>
    </row>
    <row r="16" spans="1:11">
      <c r="A16" s="989"/>
      <c r="B16" s="990"/>
      <c r="C16" s="1146"/>
      <c r="D16" s="992"/>
      <c r="E16" s="1147"/>
      <c r="F16" s="310">
        <f t="shared" si="0"/>
        <v>0</v>
      </c>
      <c r="G16" s="996"/>
      <c r="H16" s="309">
        <f t="shared" si="1"/>
        <v>0</v>
      </c>
      <c r="I16" s="989"/>
      <c r="J16" s="989"/>
      <c r="K16" s="989"/>
    </row>
    <row r="17" spans="1:11">
      <c r="A17" s="989"/>
      <c r="B17" s="990"/>
      <c r="C17" s="1146"/>
      <c r="D17" s="992"/>
      <c r="E17" s="1147"/>
      <c r="F17" s="310">
        <f t="shared" si="0"/>
        <v>0</v>
      </c>
      <c r="G17" s="996"/>
      <c r="H17" s="309">
        <f t="shared" si="1"/>
        <v>0</v>
      </c>
      <c r="I17" s="989"/>
      <c r="J17" s="989"/>
      <c r="K17" s="989"/>
    </row>
    <row r="18" spans="1:11">
      <c r="A18" s="989"/>
      <c r="B18" s="990"/>
      <c r="C18" s="991"/>
      <c r="D18" s="992"/>
      <c r="E18" s="1147"/>
      <c r="F18" s="310">
        <f t="shared" si="0"/>
        <v>0</v>
      </c>
      <c r="G18" s="996"/>
      <c r="H18" s="309">
        <f t="shared" si="1"/>
        <v>0</v>
      </c>
      <c r="I18" s="989"/>
      <c r="J18" s="989"/>
      <c r="K18" s="989"/>
    </row>
    <row r="19" spans="1:11">
      <c r="A19" s="989"/>
      <c r="B19" s="990"/>
      <c r="C19" s="991"/>
      <c r="D19" s="992"/>
      <c r="E19" s="1147"/>
      <c r="F19" s="310">
        <f t="shared" si="0"/>
        <v>0</v>
      </c>
      <c r="G19" s="996"/>
      <c r="H19" s="309">
        <f t="shared" si="1"/>
        <v>0</v>
      </c>
      <c r="I19" s="989"/>
      <c r="J19" s="989"/>
      <c r="K19" s="989"/>
    </row>
    <row r="20" spans="1:11" ht="12.75" thickBot="1">
      <c r="A20" s="989"/>
      <c r="B20" s="993"/>
      <c r="C20" s="994"/>
      <c r="D20" s="995"/>
      <c r="E20" s="1148"/>
      <c r="F20" s="308">
        <f t="shared" si="0"/>
        <v>0</v>
      </c>
      <c r="G20" s="997"/>
      <c r="H20" s="307">
        <f t="shared" si="1"/>
        <v>0</v>
      </c>
      <c r="I20" s="989"/>
      <c r="J20" s="989"/>
      <c r="K20" s="989"/>
    </row>
    <row r="21" spans="1:11" ht="29.25" customHeight="1" thickBot="1">
      <c r="A21" s="989"/>
      <c r="B21" s="1523" t="s">
        <v>1174</v>
      </c>
      <c r="C21" s="1524"/>
      <c r="D21" s="1524"/>
      <c r="E21" s="1524"/>
      <c r="F21" s="1524"/>
      <c r="G21" s="1524"/>
      <c r="H21" s="1525"/>
      <c r="I21" s="989"/>
      <c r="J21" s="989"/>
      <c r="K21" s="989"/>
    </row>
    <row r="22" spans="1:11" ht="6" customHeight="1" thickBot="1">
      <c r="A22" s="989"/>
      <c r="B22" s="1007"/>
      <c r="C22" s="1008"/>
      <c r="D22" s="1008"/>
      <c r="E22" s="1008"/>
      <c r="F22" s="1008"/>
      <c r="G22" s="1008"/>
      <c r="H22" s="1008"/>
      <c r="I22" s="989"/>
      <c r="J22" s="989"/>
      <c r="K22" s="989"/>
    </row>
    <row r="23" spans="1:11" ht="12.75" thickBot="1">
      <c r="A23" s="989"/>
      <c r="B23" s="1526" t="s">
        <v>1175</v>
      </c>
      <c r="C23" s="1527"/>
      <c r="D23" s="1527"/>
      <c r="E23" s="1527"/>
      <c r="F23" s="1527"/>
      <c r="G23" s="1527"/>
      <c r="H23" s="1528"/>
      <c r="I23" s="989"/>
      <c r="J23" s="989"/>
      <c r="K23" s="989"/>
    </row>
    <row r="24" spans="1:11">
      <c r="A24" s="989"/>
      <c r="B24" s="989"/>
      <c r="C24" s="989"/>
      <c r="D24" s="989"/>
      <c r="E24" s="989"/>
      <c r="F24" s="989"/>
      <c r="G24" s="989"/>
      <c r="H24" s="989"/>
      <c r="I24" s="989"/>
      <c r="J24" s="989"/>
      <c r="K24" s="989"/>
    </row>
    <row r="25" spans="1:11" ht="12.75" thickBot="1">
      <c r="A25" s="989"/>
      <c r="B25" s="989"/>
      <c r="C25" s="989"/>
      <c r="D25" s="989"/>
      <c r="E25" s="989"/>
      <c r="F25" s="989"/>
      <c r="G25" s="989"/>
      <c r="H25" s="989"/>
      <c r="I25" s="989"/>
      <c r="J25" s="989"/>
      <c r="K25" s="989"/>
    </row>
    <row r="26" spans="1:11" ht="16.5" customHeight="1" thickBot="1">
      <c r="A26" s="989"/>
      <c r="B26" s="1515" t="s">
        <v>1176</v>
      </c>
      <c r="C26" s="1516"/>
      <c r="D26" s="1516"/>
      <c r="E26" s="1516"/>
      <c r="F26" s="1516"/>
      <c r="G26" s="1517"/>
      <c r="H26" s="989"/>
      <c r="I26" s="989"/>
      <c r="J26" s="989"/>
      <c r="K26" s="989"/>
    </row>
    <row r="27" spans="1:11" ht="15.75" customHeight="1" thickBot="1">
      <c r="A27" s="989"/>
      <c r="B27" s="1512" t="s">
        <v>1723</v>
      </c>
      <c r="C27" s="1513"/>
      <c r="D27" s="1513"/>
      <c r="E27" s="1513"/>
      <c r="F27" s="1513"/>
      <c r="G27" s="1514"/>
      <c r="H27" s="989"/>
      <c r="I27" s="989"/>
      <c r="J27" s="989"/>
      <c r="K27" s="989"/>
    </row>
    <row r="28" spans="1:11" ht="54.75" customHeight="1" thickBot="1">
      <c r="A28" s="989"/>
      <c r="B28" s="306" t="s">
        <v>1178</v>
      </c>
      <c r="C28" s="305" t="s">
        <v>1180</v>
      </c>
      <c r="D28" s="836" t="s">
        <v>1167</v>
      </c>
      <c r="E28" s="836" t="s">
        <v>1181</v>
      </c>
      <c r="F28" s="836" t="s">
        <v>1182</v>
      </c>
      <c r="G28" s="304" t="s">
        <v>1183</v>
      </c>
      <c r="H28" s="989"/>
      <c r="I28" s="989"/>
      <c r="J28" s="989"/>
      <c r="K28" s="989"/>
    </row>
    <row r="29" spans="1:11">
      <c r="A29" s="989"/>
      <c r="B29" s="990" t="s">
        <v>1724</v>
      </c>
      <c r="C29" s="991"/>
      <c r="D29" s="998"/>
      <c r="E29" s="998"/>
      <c r="F29" s="999"/>
      <c r="G29" s="303">
        <f>IF(ISTEXT(C29),IF(F29&lt;&gt;0,F29/VLOOKUP(C29,'5-Mobilité Data'!$J$19:$O$30,6,0),0)*100,0)</f>
        <v>0</v>
      </c>
      <c r="H29" s="989"/>
      <c r="I29" s="989"/>
      <c r="J29" s="989"/>
      <c r="K29" s="989"/>
    </row>
    <row r="30" spans="1:11">
      <c r="A30" s="989"/>
      <c r="B30" s="990"/>
      <c r="C30" s="991"/>
      <c r="D30" s="998"/>
      <c r="E30" s="998"/>
      <c r="F30" s="999"/>
      <c r="G30" s="303">
        <f>IF(ISTEXT(C30),IF(F30&lt;&gt;0,F30/VLOOKUP(C30,'5-Mobilité Data'!$J$19:$O$30,6,0),0)*100,0)</f>
        <v>0</v>
      </c>
      <c r="H30" s="989"/>
      <c r="I30" s="989"/>
      <c r="J30" s="989"/>
      <c r="K30" s="989"/>
    </row>
    <row r="31" spans="1:11">
      <c r="A31" s="989"/>
      <c r="B31" s="990"/>
      <c r="C31" s="991"/>
      <c r="D31" s="998"/>
      <c r="E31" s="998"/>
      <c r="F31" s="999"/>
      <c r="G31" s="303">
        <f>IF(ISTEXT(C31),IF(F31&lt;&gt;0,F31/VLOOKUP(C31,'5-Mobilité Data'!$J$19:$O$30,6,0),0)*100,0)</f>
        <v>0</v>
      </c>
      <c r="H31" s="989"/>
      <c r="I31" s="989"/>
      <c r="J31" s="989"/>
      <c r="K31" s="989"/>
    </row>
    <row r="32" spans="1:11">
      <c r="A32" s="989"/>
      <c r="B32" s="990"/>
      <c r="C32" s="991"/>
      <c r="D32" s="998"/>
      <c r="E32" s="998"/>
      <c r="F32" s="999"/>
      <c r="G32" s="303">
        <f>IF(ISTEXT(C32),IF(F32&lt;&gt;0,F32/VLOOKUP(C32,'5-Mobilité Data'!$J$19:$O$30,6,0),0)*100,0)</f>
        <v>0</v>
      </c>
      <c r="H32" s="989"/>
      <c r="I32" s="989"/>
      <c r="J32" s="989"/>
      <c r="K32" s="989"/>
    </row>
    <row r="33" spans="1:11">
      <c r="A33" s="989"/>
      <c r="B33" s="990"/>
      <c r="C33" s="991"/>
      <c r="D33" s="998"/>
      <c r="E33" s="998"/>
      <c r="F33" s="999"/>
      <c r="G33" s="303">
        <f>IF(ISTEXT(C33),IF(F33&lt;&gt;0,F33/VLOOKUP(C33,'5-Mobilité Data'!$J$19:$O$30,6,0),0)*100,0)</f>
        <v>0</v>
      </c>
      <c r="H33" s="989"/>
      <c r="I33" s="989"/>
      <c r="J33" s="989"/>
      <c r="K33" s="989"/>
    </row>
    <row r="34" spans="1:11">
      <c r="A34" s="989"/>
      <c r="B34" s="990"/>
      <c r="C34" s="991"/>
      <c r="D34" s="998"/>
      <c r="E34" s="998"/>
      <c r="F34" s="999"/>
      <c r="G34" s="303">
        <f>IF(ISTEXT(C34),IF(F34&lt;&gt;0,F34/VLOOKUP(C34,'5-Mobilité Data'!$J$19:$O$30,6,0),0)*100,0)</f>
        <v>0</v>
      </c>
      <c r="H34" s="989"/>
      <c r="I34" s="989"/>
      <c r="J34" s="989"/>
      <c r="K34" s="989"/>
    </row>
    <row r="35" spans="1:11">
      <c r="A35" s="989"/>
      <c r="B35" s="990"/>
      <c r="C35" s="991"/>
      <c r="D35" s="998"/>
      <c r="E35" s="998"/>
      <c r="F35" s="999"/>
      <c r="G35" s="303">
        <f>IF(ISTEXT(C35),IF(F35&lt;&gt;0,F35/VLOOKUP(C35,'5-Mobilité Data'!$J$19:$O$30,6,0),0)*100,0)</f>
        <v>0</v>
      </c>
      <c r="H35" s="989"/>
      <c r="I35" s="989"/>
      <c r="J35" s="989"/>
      <c r="K35" s="989"/>
    </row>
    <row r="36" spans="1:11">
      <c r="A36" s="989"/>
      <c r="B36" s="990"/>
      <c r="C36" s="991"/>
      <c r="D36" s="998"/>
      <c r="E36" s="998"/>
      <c r="F36" s="999"/>
      <c r="G36" s="303">
        <f>IF(ISTEXT(C36),IF(F36&lt;&gt;0,F36/VLOOKUP(C36,'5-Mobilité Data'!$J$19:$O$30,6,0),0)*100,0)</f>
        <v>0</v>
      </c>
      <c r="H36" s="989"/>
      <c r="I36" s="989"/>
      <c r="J36" s="989"/>
      <c r="K36" s="989"/>
    </row>
    <row r="37" spans="1:11">
      <c r="A37" s="989"/>
      <c r="B37" s="990"/>
      <c r="C37" s="991"/>
      <c r="D37" s="998"/>
      <c r="E37" s="998"/>
      <c r="F37" s="999"/>
      <c r="G37" s="303">
        <f>IF(ISTEXT(C37),IF(F37&lt;&gt;0,F37/VLOOKUP(C37,'5-Mobilité Data'!$J$19:$O$30,6,0),0)*100,0)</f>
        <v>0</v>
      </c>
      <c r="H37" s="989"/>
      <c r="I37" s="989"/>
      <c r="J37" s="989"/>
      <c r="K37" s="989"/>
    </row>
    <row r="38" spans="1:11">
      <c r="A38" s="989"/>
      <c r="B38" s="990"/>
      <c r="C38" s="991"/>
      <c r="D38" s="998"/>
      <c r="E38" s="998"/>
      <c r="F38" s="999"/>
      <c r="G38" s="303">
        <f>IF(ISTEXT(C38),IF(F38&lt;&gt;0,F38/VLOOKUP(C38,'5-Mobilité Data'!$J$19:$O$30,6,0),0)*100,0)</f>
        <v>0</v>
      </c>
      <c r="H38" s="989"/>
      <c r="I38" s="989"/>
      <c r="J38" s="989"/>
      <c r="K38" s="989"/>
    </row>
    <row r="39" spans="1:11">
      <c r="A39" s="989"/>
      <c r="B39" s="990"/>
      <c r="C39" s="991"/>
      <c r="D39" s="998"/>
      <c r="E39" s="998"/>
      <c r="F39" s="999"/>
      <c r="G39" s="303">
        <f>IF(ISTEXT(C39),IF(F39&lt;&gt;0,F39/VLOOKUP(C39,'5-Mobilité Data'!$J$19:$O$30,6,0),0)*100,0)</f>
        <v>0</v>
      </c>
      <c r="H39" s="989"/>
      <c r="I39" s="989"/>
      <c r="J39" s="989"/>
      <c r="K39" s="989"/>
    </row>
    <row r="40" spans="1:11">
      <c r="A40" s="989"/>
      <c r="B40" s="990"/>
      <c r="C40" s="991"/>
      <c r="D40" s="998"/>
      <c r="E40" s="998"/>
      <c r="F40" s="999"/>
      <c r="G40" s="303">
        <f>IF(ISTEXT(C40),IF(F40&lt;&gt;0,F40/VLOOKUP(C40,'5-Mobilité Data'!$J$19:$O$30,6,0),0)*100,0)</f>
        <v>0</v>
      </c>
      <c r="H40" s="989"/>
      <c r="I40" s="989"/>
      <c r="J40" s="989"/>
      <c r="K40" s="989"/>
    </row>
    <row r="41" spans="1:11">
      <c r="A41" s="989"/>
      <c r="B41" s="990"/>
      <c r="C41" s="991"/>
      <c r="D41" s="998"/>
      <c r="E41" s="998"/>
      <c r="F41" s="999"/>
      <c r="G41" s="303">
        <f>IF(ISTEXT(C41),IF(F41&lt;&gt;0,F41/VLOOKUP(C41,'5-Mobilité Data'!$J$19:$O$30,6,0),0)*100,0)</f>
        <v>0</v>
      </c>
      <c r="H41" s="989"/>
      <c r="I41" s="989"/>
      <c r="J41" s="989"/>
      <c r="K41" s="989"/>
    </row>
    <row r="42" spans="1:11">
      <c r="A42" s="989"/>
      <c r="B42" s="990"/>
      <c r="C42" s="991"/>
      <c r="D42" s="998"/>
      <c r="E42" s="998"/>
      <c r="F42" s="999"/>
      <c r="G42" s="303">
        <f>IF(ISTEXT(C42),IF(F42&lt;&gt;0,F42/VLOOKUP(C42,'5-Mobilité Data'!$J$19:$O$30,6,0),0)*100,0)</f>
        <v>0</v>
      </c>
      <c r="H42" s="989"/>
      <c r="I42" s="989"/>
      <c r="J42" s="989"/>
      <c r="K42" s="989"/>
    </row>
    <row r="43" spans="1:11" ht="12.75" thickBot="1">
      <c r="A43" s="989"/>
      <c r="B43" s="990"/>
      <c r="C43" s="991"/>
      <c r="D43" s="998"/>
      <c r="E43" s="998"/>
      <c r="F43" s="999"/>
      <c r="G43" s="833">
        <f>IF(ISTEXT(C43),IF(F43&lt;&gt;0,F43/VLOOKUP(C43,'5-Mobilité Data'!$J$19:$O$30,6,0),0)*100,0)</f>
        <v>0</v>
      </c>
      <c r="H43" s="989"/>
      <c r="I43" s="989"/>
      <c r="J43" s="989"/>
      <c r="K43" s="989"/>
    </row>
    <row r="44" spans="1:11" ht="40.5" customHeight="1" thickBot="1">
      <c r="A44" s="989"/>
      <c r="B44" s="1509" t="s">
        <v>1184</v>
      </c>
      <c r="C44" s="1510"/>
      <c r="D44" s="1510"/>
      <c r="E44" s="1510"/>
      <c r="F44" s="1510"/>
      <c r="G44" s="1511"/>
      <c r="H44" s="989"/>
      <c r="I44" s="989"/>
      <c r="J44" s="989"/>
      <c r="K44" s="989"/>
    </row>
    <row r="45" spans="1:11">
      <c r="A45" s="989"/>
      <c r="B45" s="989"/>
      <c r="C45" s="989"/>
      <c r="D45" s="989"/>
      <c r="E45" s="989"/>
      <c r="F45" s="989"/>
      <c r="G45" s="989"/>
      <c r="H45" s="989"/>
      <c r="I45" s="989"/>
      <c r="J45" s="989"/>
      <c r="K45" s="989"/>
    </row>
    <row r="46" spans="1:11">
      <c r="A46" s="989"/>
      <c r="B46" s="989"/>
      <c r="C46" s="989"/>
      <c r="D46" s="989"/>
      <c r="E46" s="989"/>
      <c r="F46" s="989"/>
      <c r="G46" s="989"/>
      <c r="H46" s="989"/>
      <c r="I46" s="989"/>
      <c r="J46" s="989"/>
      <c r="K46" s="989"/>
    </row>
    <row r="47" spans="1:11" ht="27">
      <c r="A47" s="989"/>
      <c r="B47" s="1009" t="s">
        <v>1185</v>
      </c>
      <c r="C47" s="1009"/>
      <c r="D47" s="1009"/>
      <c r="E47" s="1009"/>
      <c r="F47" s="1009"/>
      <c r="G47" s="1009"/>
      <c r="H47" s="1009"/>
      <c r="I47" s="1009"/>
      <c r="J47" s="1009"/>
      <c r="K47" s="1010"/>
    </row>
    <row r="48" spans="1:11" ht="12.75" thickBot="1">
      <c r="A48" s="989"/>
      <c r="B48" s="989"/>
      <c r="C48" s="989"/>
      <c r="D48" s="989"/>
      <c r="E48" s="989"/>
      <c r="F48" s="989"/>
      <c r="G48" s="989"/>
      <c r="H48" s="989"/>
      <c r="I48" s="989"/>
      <c r="J48" s="989"/>
      <c r="K48" s="989"/>
    </row>
    <row r="49" spans="1:11" ht="15.75">
      <c r="A49" s="989"/>
      <c r="C49" s="1504" t="s">
        <v>1186</v>
      </c>
      <c r="D49" s="1505"/>
      <c r="E49" s="1505"/>
      <c r="F49" s="1506"/>
      <c r="K49" s="989"/>
    </row>
    <row r="50" spans="1:11" ht="24.75" thickBot="1">
      <c r="A50" s="989"/>
      <c r="C50" s="1011" t="s">
        <v>1187</v>
      </c>
      <c r="D50" s="1012" t="s">
        <v>1188</v>
      </c>
      <c r="E50" s="1012" t="s">
        <v>1189</v>
      </c>
      <c r="F50" s="1013" t="s">
        <v>1190</v>
      </c>
      <c r="K50" s="989"/>
    </row>
    <row r="51" spans="1:11">
      <c r="A51" s="989"/>
      <c r="C51" s="1014" t="s">
        <v>1173</v>
      </c>
      <c r="D51" s="1015">
        <f>SUMIF($C$6:$C$21,C51,F$6:F$21)+SUMIF($C$28:$C$44,C51,D$28:D$44)+SUMIF($C$28:$C$44,C51,G$28:G$44)</f>
        <v>0</v>
      </c>
      <c r="E51" s="1015">
        <f t="shared" ref="E51:E61" si="2">SUMIF($C$28:$C$44,C51,E$28:E$44)</f>
        <v>0</v>
      </c>
      <c r="F51" s="1016">
        <f t="shared" ref="F51:F61" si="3">SUMIF($C$6:$C$21,C51,H$6:H$21)+SUMIF($C$28:$C$44,C51,F$28:F$44)</f>
        <v>0</v>
      </c>
      <c r="K51" s="989"/>
    </row>
    <row r="52" spans="1:11">
      <c r="A52" s="989"/>
      <c r="C52" s="1014" t="s">
        <v>1191</v>
      </c>
      <c r="D52" s="1017">
        <f t="shared" ref="D52:D61" si="4">SUMIF($C$6:$C$21,C52,F$6:F$21)+SUMIF($C$28:$C$44,C52,D$28:D$44)++SUMIF($C$28:$C$44,C52,G$28:G$44)</f>
        <v>0</v>
      </c>
      <c r="E52" s="1017">
        <f t="shared" si="2"/>
        <v>0</v>
      </c>
      <c r="F52" s="1018">
        <f t="shared" si="3"/>
        <v>0</v>
      </c>
      <c r="K52" s="989"/>
    </row>
    <row r="53" spans="1:11">
      <c r="A53" s="989"/>
      <c r="C53" s="1014" t="s">
        <v>1192</v>
      </c>
      <c r="D53" s="1017">
        <f t="shared" si="4"/>
        <v>0</v>
      </c>
      <c r="E53" s="1017">
        <f t="shared" si="2"/>
        <v>0</v>
      </c>
      <c r="F53" s="1018">
        <f t="shared" si="3"/>
        <v>0</v>
      </c>
      <c r="K53" s="989"/>
    </row>
    <row r="54" spans="1:11">
      <c r="A54" s="989"/>
      <c r="C54" s="1014" t="s">
        <v>1193</v>
      </c>
      <c r="D54" s="1017">
        <f t="shared" si="4"/>
        <v>0</v>
      </c>
      <c r="E54" s="1017">
        <f t="shared" si="2"/>
        <v>0</v>
      </c>
      <c r="F54" s="1018">
        <f t="shared" si="3"/>
        <v>0</v>
      </c>
      <c r="K54" s="989"/>
    </row>
    <row r="55" spans="1:11">
      <c r="A55" s="989"/>
      <c r="C55" s="1014" t="s">
        <v>1194</v>
      </c>
      <c r="D55" s="1017">
        <f t="shared" si="4"/>
        <v>0</v>
      </c>
      <c r="E55" s="1017">
        <f t="shared" si="2"/>
        <v>0</v>
      </c>
      <c r="F55" s="1018">
        <f t="shared" si="3"/>
        <v>0</v>
      </c>
      <c r="K55" s="989"/>
    </row>
    <row r="56" spans="1:11">
      <c r="A56" s="989"/>
      <c r="C56" s="1014" t="s">
        <v>1195</v>
      </c>
      <c r="D56" s="1017">
        <f t="shared" si="4"/>
        <v>0</v>
      </c>
      <c r="E56" s="1017">
        <f t="shared" si="2"/>
        <v>0</v>
      </c>
      <c r="F56" s="1018">
        <f t="shared" si="3"/>
        <v>0</v>
      </c>
      <c r="K56" s="989"/>
    </row>
    <row r="57" spans="1:11">
      <c r="A57" s="989"/>
      <c r="C57" s="1014" t="s">
        <v>223</v>
      </c>
      <c r="D57" s="1017">
        <f t="shared" si="4"/>
        <v>0</v>
      </c>
      <c r="E57" s="1017">
        <f t="shared" si="2"/>
        <v>0</v>
      </c>
      <c r="F57" s="1018">
        <f t="shared" si="3"/>
        <v>0</v>
      </c>
      <c r="K57" s="989"/>
    </row>
    <row r="58" spans="1:11">
      <c r="A58" s="989"/>
      <c r="C58" s="1014" t="s">
        <v>220</v>
      </c>
      <c r="D58" s="1017">
        <f t="shared" si="4"/>
        <v>0</v>
      </c>
      <c r="E58" s="1017">
        <f t="shared" si="2"/>
        <v>0</v>
      </c>
      <c r="F58" s="1018">
        <f t="shared" si="3"/>
        <v>0</v>
      </c>
      <c r="K58" s="989"/>
    </row>
    <row r="59" spans="1:11">
      <c r="A59" s="989"/>
      <c r="C59" s="1014" t="s">
        <v>1196</v>
      </c>
      <c r="D59" s="1017">
        <f t="shared" si="4"/>
        <v>0</v>
      </c>
      <c r="E59" s="1017">
        <f t="shared" si="2"/>
        <v>0</v>
      </c>
      <c r="F59" s="1018">
        <f t="shared" si="3"/>
        <v>0</v>
      </c>
      <c r="K59" s="989"/>
    </row>
    <row r="60" spans="1:11">
      <c r="A60" s="989"/>
      <c r="C60" s="1014" t="s">
        <v>1197</v>
      </c>
      <c r="D60" s="1017">
        <f t="shared" si="4"/>
        <v>0</v>
      </c>
      <c r="E60" s="1017">
        <f t="shared" si="2"/>
        <v>0</v>
      </c>
      <c r="F60" s="1018">
        <f t="shared" si="3"/>
        <v>0</v>
      </c>
      <c r="K60" s="989"/>
    </row>
    <row r="61" spans="1:11" ht="12.75" thickBot="1">
      <c r="A61" s="989"/>
      <c r="C61" s="1019" t="s">
        <v>1198</v>
      </c>
      <c r="D61" s="1020">
        <f t="shared" si="4"/>
        <v>0</v>
      </c>
      <c r="E61" s="1020">
        <f t="shared" si="2"/>
        <v>0</v>
      </c>
      <c r="F61" s="1021">
        <f t="shared" si="3"/>
        <v>0</v>
      </c>
      <c r="K61" s="989"/>
    </row>
    <row r="62" spans="1:11">
      <c r="A62" s="989"/>
      <c r="C62" s="989"/>
      <c r="D62" s="989"/>
      <c r="E62" s="989"/>
      <c r="F62" s="989"/>
      <c r="K62" s="989"/>
    </row>
    <row r="63" spans="1:11">
      <c r="A63" s="989"/>
      <c r="C63" s="989"/>
      <c r="D63" s="989"/>
      <c r="E63" s="989"/>
      <c r="F63" s="989"/>
      <c r="K63" s="989"/>
    </row>
    <row r="64" spans="1:11">
      <c r="A64" s="989"/>
      <c r="B64" s="989"/>
      <c r="C64" s="989"/>
      <c r="D64" s="989"/>
      <c r="E64" s="989"/>
      <c r="F64" s="989"/>
      <c r="K64" s="989"/>
    </row>
    <row r="65" spans="1:29">
      <c r="A65" s="989"/>
      <c r="B65" s="989"/>
      <c r="C65" s="989"/>
      <c r="D65" s="989"/>
      <c r="E65" s="989"/>
      <c r="F65" s="989"/>
      <c r="K65" s="989"/>
    </row>
    <row r="66" spans="1:29">
      <c r="A66" s="989"/>
      <c r="B66" s="989"/>
      <c r="C66" s="989"/>
      <c r="D66" s="989"/>
      <c r="E66" s="989"/>
      <c r="F66" s="989"/>
      <c r="K66" s="989"/>
    </row>
    <row r="67" spans="1:29">
      <c r="A67" s="989"/>
      <c r="B67" s="989"/>
      <c r="C67" s="989"/>
      <c r="D67" s="989"/>
      <c r="E67" s="989"/>
      <c r="F67" s="989"/>
      <c r="K67" s="989"/>
    </row>
    <row r="68" spans="1:29" ht="18">
      <c r="A68" s="989"/>
      <c r="B68" s="1533" t="s">
        <v>1223</v>
      </c>
      <c r="C68" s="1533"/>
      <c r="D68" s="1533"/>
      <c r="E68" s="1533"/>
      <c r="F68" s="989"/>
      <c r="G68" s="989"/>
      <c r="H68" s="989"/>
      <c r="I68" s="989"/>
      <c r="J68" s="989"/>
      <c r="K68" s="989"/>
      <c r="AA68" s="462"/>
      <c r="AB68" s="462"/>
      <c r="AC68" s="462"/>
    </row>
    <row r="69" spans="1:29" ht="18">
      <c r="A69" s="989"/>
      <c r="B69" s="1534" t="s">
        <v>1224</v>
      </c>
      <c r="C69" s="1534"/>
      <c r="D69" s="1534"/>
      <c r="E69" s="1534"/>
      <c r="F69" s="989"/>
      <c r="G69" s="989"/>
      <c r="H69" s="989"/>
      <c r="I69" s="989"/>
      <c r="J69" s="989"/>
      <c r="K69" s="989"/>
      <c r="AA69" s="462"/>
      <c r="AB69" s="462"/>
      <c r="AC69" s="462"/>
    </row>
    <row r="70" spans="1:29" ht="24.75" customHeight="1">
      <c r="A70" s="989"/>
      <c r="B70" s="1535" t="s">
        <v>1225</v>
      </c>
      <c r="C70" s="1536"/>
      <c r="D70" s="1000" t="s">
        <v>1226</v>
      </c>
      <c r="E70" s="1001" t="s">
        <v>1227</v>
      </c>
      <c r="F70" s="989"/>
      <c r="G70" s="989"/>
      <c r="H70" s="989"/>
      <c r="I70" s="989"/>
      <c r="J70" s="989"/>
      <c r="K70" s="989"/>
      <c r="AA70" s="462"/>
      <c r="AB70" s="462"/>
      <c r="AC70" s="462"/>
    </row>
    <row r="71" spans="1:29" ht="15" customHeight="1">
      <c r="A71" s="989"/>
      <c r="B71" s="1518" t="str">
        <f>'5-Tool Mobiliteit B'!E11</f>
        <v>Coördinatie</v>
      </c>
      <c r="C71" s="1519"/>
      <c r="D71" s="1002"/>
      <c r="E71" s="1003">
        <f>'5-Tool Mobiliteit B'!D11</f>
        <v>0</v>
      </c>
      <c r="F71" s="989"/>
      <c r="G71" s="989"/>
      <c r="H71" s="989"/>
      <c r="I71" s="989"/>
      <c r="J71" s="989"/>
      <c r="K71" s="989"/>
      <c r="AA71" s="462"/>
      <c r="AB71" s="462"/>
      <c r="AC71" s="462"/>
    </row>
    <row r="72" spans="1:29" ht="15" customHeight="1">
      <c r="A72" s="989"/>
      <c r="B72" s="1518" t="str">
        <f>'5-Tool Mobiliteit B'!E20</f>
        <v>Carpooling</v>
      </c>
      <c r="C72" s="1519"/>
      <c r="D72" s="1002"/>
      <c r="E72" s="1003">
        <f>'5-Tool Mobiliteit B'!D20</f>
        <v>0</v>
      </c>
      <c r="F72" s="989"/>
      <c r="G72" s="989"/>
      <c r="H72" s="989"/>
      <c r="I72" s="989"/>
      <c r="J72" s="989"/>
      <c r="K72" s="989"/>
      <c r="AA72" s="462"/>
      <c r="AB72" s="462"/>
      <c r="AC72" s="462"/>
    </row>
    <row r="73" spans="1:29" ht="15" customHeight="1">
      <c r="A73" s="989"/>
      <c r="B73" s="1518" t="str">
        <f>'5-Tool Mobiliteit B'!E24</f>
        <v>Brommers</v>
      </c>
      <c r="C73" s="1519"/>
      <c r="D73" s="1002"/>
      <c r="E73" s="1003">
        <f>'5-Tool Mobiliteit B'!D24</f>
        <v>0</v>
      </c>
      <c r="F73" s="989"/>
      <c r="G73" s="989"/>
      <c r="H73" s="989"/>
      <c r="I73" s="989"/>
      <c r="J73" s="989"/>
      <c r="K73" s="989"/>
      <c r="AA73" s="462"/>
      <c r="AB73" s="462"/>
      <c r="AC73" s="462"/>
    </row>
    <row r="74" spans="1:29" ht="15" customHeight="1">
      <c r="A74" s="989"/>
      <c r="B74" s="1518" t="str">
        <f>'5-Tool Mobiliteit B'!E27</f>
        <v>Onderhandelde herlocalisatie van het personeel</v>
      </c>
      <c r="C74" s="1519"/>
      <c r="D74" s="1002"/>
      <c r="E74" s="1003">
        <f>'5-Tool Mobiliteit B'!D27</f>
        <v>0</v>
      </c>
      <c r="F74" s="989"/>
      <c r="G74" s="989"/>
      <c r="H74" s="989"/>
      <c r="I74" s="989"/>
      <c r="J74" s="989"/>
      <c r="K74" s="989"/>
      <c r="AA74" s="462"/>
      <c r="AB74" s="462"/>
      <c r="AC74" s="462"/>
    </row>
    <row r="75" spans="1:29" ht="15" customHeight="1">
      <c r="A75" s="989"/>
      <c r="B75" s="1518" t="str">
        <f>'5-Tool Mobiliteit B'!E31</f>
        <v>Verhuis van de onderneming of de medewerkers</v>
      </c>
      <c r="C75" s="1519"/>
      <c r="D75" s="1002"/>
      <c r="E75" s="1003">
        <f>'5-Tool Mobiliteit B'!D31</f>
        <v>0</v>
      </c>
      <c r="F75" s="989"/>
      <c r="G75" s="989"/>
      <c r="H75" s="989"/>
      <c r="I75" s="989"/>
      <c r="J75" s="989"/>
      <c r="K75" s="989"/>
      <c r="AA75" s="462"/>
      <c r="AB75" s="462"/>
      <c r="AC75" s="462"/>
    </row>
    <row r="76" spans="1:29" ht="15" customHeight="1">
      <c r="A76" s="989"/>
      <c r="B76" s="1518" t="str">
        <f>'5-Tool Mobiliteit B'!E40</f>
        <v>Informatie, sensibilisatie</v>
      </c>
      <c r="C76" s="1519"/>
      <c r="D76" s="1004"/>
      <c r="E76" s="1003">
        <f>'5-Tool Mobiliteit B'!D40</f>
        <v>0</v>
      </c>
      <c r="F76" s="989"/>
      <c r="G76" s="989"/>
      <c r="H76" s="989"/>
      <c r="I76" s="989"/>
      <c r="J76" s="989"/>
      <c r="K76" s="989"/>
      <c r="AA76" s="462"/>
      <c r="AB76" s="462"/>
      <c r="AC76" s="462"/>
    </row>
    <row r="77" spans="1:29" ht="15" customHeight="1">
      <c r="A77" s="989"/>
      <c r="B77" s="1518" t="str">
        <f>'5-Tool Mobiliteit B'!E43</f>
        <v>Infrastructuur</v>
      </c>
      <c r="C77" s="1519"/>
      <c r="D77" s="1004"/>
      <c r="E77" s="1003">
        <f>'5-Tool Mobiliteit B'!D43</f>
        <v>0</v>
      </c>
      <c r="F77" s="989"/>
      <c r="G77" s="989"/>
      <c r="H77" s="989"/>
      <c r="I77" s="989"/>
      <c r="J77" s="989"/>
      <c r="K77" s="989"/>
      <c r="AA77" s="462"/>
      <c r="AB77" s="462"/>
      <c r="AC77" s="462"/>
    </row>
    <row r="78" spans="1:29" ht="26.25" customHeight="1">
      <c r="A78" s="989"/>
      <c r="B78" s="1518" t="str">
        <f>'5-Tool Mobiliteit B'!E46</f>
        <v>Partnerships: overheden, openbare vervoersmaatschappijen,..</v>
      </c>
      <c r="C78" s="1519"/>
      <c r="D78" s="1005"/>
      <c r="E78" s="1006">
        <f>'5-Tool Mobiliteit B'!D46</f>
        <v>0</v>
      </c>
      <c r="F78" s="989"/>
      <c r="G78" s="989"/>
      <c r="H78" s="989"/>
      <c r="I78" s="989"/>
      <c r="J78" s="989"/>
      <c r="K78" s="989"/>
      <c r="AA78" s="462"/>
      <c r="AB78" s="462"/>
      <c r="AC78" s="462"/>
    </row>
    <row r="79" spans="1:29" ht="15" customHeight="1">
      <c r="A79" s="989"/>
      <c r="B79" s="1518" t="str">
        <f>'5-Tool Mobiliteit B'!E50</f>
        <v>Voetgangers</v>
      </c>
      <c r="C79" s="1519"/>
      <c r="D79" s="1004"/>
      <c r="E79" s="1003">
        <f>'5-Tool Mobiliteit B'!D50</f>
        <v>0</v>
      </c>
      <c r="F79" s="989"/>
      <c r="G79" s="989"/>
      <c r="H79" s="989"/>
      <c r="I79" s="989"/>
      <c r="J79" s="989"/>
      <c r="K79" s="989"/>
      <c r="AA79" s="462"/>
      <c r="AB79" s="462"/>
      <c r="AC79" s="462"/>
    </row>
    <row r="80" spans="1:29" ht="15" customHeight="1">
      <c r="A80" s="989"/>
      <c r="B80" s="1518" t="str">
        <f>'5-Tool Mobiliteit B'!E52</f>
        <v>Rationalisatie van beroepsgebonden verplaatsingen</v>
      </c>
      <c r="C80" s="1519"/>
      <c r="D80" s="1004"/>
      <c r="E80" s="1003">
        <f>'5-Tool Mobiliteit B'!D52</f>
        <v>0</v>
      </c>
      <c r="F80" s="989"/>
      <c r="G80" s="989"/>
      <c r="H80" s="989"/>
      <c r="I80" s="989"/>
      <c r="J80" s="989"/>
      <c r="K80" s="989"/>
      <c r="AA80" s="462"/>
      <c r="AB80" s="462"/>
      <c r="AC80" s="462"/>
    </row>
    <row r="81" spans="1:29" ht="15" customHeight="1">
      <c r="A81" s="989"/>
      <c r="B81" s="1518" t="str">
        <f>'5-Tool Mobiliteit B'!E54</f>
        <v>Aanwervingen</v>
      </c>
      <c r="C81" s="1519"/>
      <c r="D81" s="1004"/>
      <c r="E81" s="1003">
        <f>'5-Tool Mobiliteit B'!D54</f>
        <v>0</v>
      </c>
      <c r="F81" s="989"/>
      <c r="G81" s="989"/>
      <c r="H81" s="989"/>
      <c r="I81" s="989"/>
      <c r="J81" s="989"/>
      <c r="K81" s="989"/>
      <c r="AA81" s="462"/>
      <c r="AB81" s="462"/>
      <c r="AC81" s="462"/>
    </row>
    <row r="82" spans="1:29" ht="15" customHeight="1">
      <c r="A82" s="989"/>
      <c r="B82" s="1518" t="str">
        <f>'5-Tool Mobiliteit B'!E57</f>
        <v>Telewerk</v>
      </c>
      <c r="C82" s="1519"/>
      <c r="D82" s="1004"/>
      <c r="E82" s="1003">
        <f>'5-Tool Mobiliteit B'!D57</f>
        <v>0</v>
      </c>
      <c r="F82" s="989"/>
      <c r="G82" s="989"/>
      <c r="H82" s="989"/>
      <c r="I82" s="989"/>
      <c r="J82" s="989"/>
      <c r="K82" s="989"/>
      <c r="AA82" s="462"/>
      <c r="AB82" s="462"/>
      <c r="AC82" s="462"/>
    </row>
    <row r="83" spans="1:29" ht="15" customHeight="1">
      <c r="A83" s="989"/>
      <c r="B83" s="1518" t="str">
        <f>'5-Tool Mobiliteit B'!E65</f>
        <v>Trein</v>
      </c>
      <c r="C83" s="1519"/>
      <c r="D83" s="1004"/>
      <c r="E83" s="1003">
        <f>'5-Tool Mobiliteit B'!D65</f>
        <v>0</v>
      </c>
      <c r="F83" s="989"/>
      <c r="G83" s="989"/>
      <c r="H83" s="989"/>
      <c r="I83" s="989"/>
      <c r="J83" s="989"/>
      <c r="K83" s="989"/>
      <c r="AA83" s="462"/>
      <c r="AB83" s="462"/>
      <c r="AC83" s="462"/>
    </row>
    <row r="84" spans="1:29" ht="15" customHeight="1">
      <c r="A84" s="989"/>
      <c r="B84" s="1518" t="str">
        <f>'5-Tool Mobiliteit B'!E71</f>
        <v>Collectief transport, georganiseerd door de werkgever (ctw)</v>
      </c>
      <c r="C84" s="1519"/>
      <c r="D84" s="1004"/>
      <c r="E84" s="1003">
        <f>'5-Tool Mobiliteit B'!D71</f>
        <v>0</v>
      </c>
      <c r="F84" s="989"/>
      <c r="G84" s="989"/>
      <c r="H84" s="989"/>
      <c r="I84" s="989"/>
      <c r="J84" s="989"/>
      <c r="K84" s="989"/>
      <c r="AA84" s="462"/>
      <c r="AB84" s="462"/>
      <c r="AC84" s="462"/>
    </row>
    <row r="85" spans="1:29" ht="15" customHeight="1">
      <c r="A85" s="989"/>
      <c r="B85" s="1518" t="str">
        <f>'5-Tool Mobiliteit B'!E78</f>
        <v>Openbaar vervoer</v>
      </c>
      <c r="C85" s="1519"/>
      <c r="D85" s="1004"/>
      <c r="E85" s="1003">
        <f>'5-Tool Mobiliteit B'!D78</f>
        <v>0</v>
      </c>
      <c r="F85" s="989"/>
      <c r="G85" s="989"/>
      <c r="H85" s="989"/>
      <c r="I85" s="989"/>
      <c r="J85" s="989"/>
      <c r="K85" s="989"/>
      <c r="AA85" s="462"/>
      <c r="AB85" s="462"/>
      <c r="AC85" s="462"/>
    </row>
    <row r="86" spans="1:29" ht="15" customHeight="1">
      <c r="A86" s="989"/>
      <c r="B86" s="1518" t="str">
        <f>'5-Tool Mobiliteit B'!E91</f>
        <v>Fiets</v>
      </c>
      <c r="C86" s="1519"/>
      <c r="D86" s="1004"/>
      <c r="E86" s="1003">
        <f>'5-Tool Mobiliteit B'!D91</f>
        <v>0</v>
      </c>
      <c r="F86" s="989"/>
      <c r="G86" s="989"/>
      <c r="H86" s="989"/>
      <c r="I86" s="989"/>
      <c r="J86" s="989"/>
      <c r="K86" s="989"/>
      <c r="AA86" s="462"/>
      <c r="AB86" s="462"/>
      <c r="AC86" s="462"/>
    </row>
    <row r="87" spans="1:29" ht="15" customHeight="1">
      <c r="A87" s="989"/>
      <c r="B87" s="1518" t="str">
        <f>'5-Tool Mobiliteit B'!E99</f>
        <v>Bedrijfswagen</v>
      </c>
      <c r="C87" s="1519"/>
      <c r="D87" s="1004"/>
      <c r="E87" s="1003">
        <f>'5-Tool Mobiliteit B'!D99</f>
        <v>0</v>
      </c>
      <c r="F87" s="989"/>
      <c r="G87" s="989"/>
      <c r="H87" s="989"/>
      <c r="I87" s="989"/>
      <c r="J87" s="989"/>
      <c r="K87" s="989"/>
      <c r="AA87" s="462"/>
      <c r="AB87" s="462"/>
      <c r="AC87" s="462"/>
    </row>
    <row r="88" spans="1:29" ht="15" customHeight="1">
      <c r="A88" s="989"/>
      <c r="B88" s="1518" t="str">
        <f>'5-Tool Mobiliteit B'!E107</f>
        <v>Privéwagen</v>
      </c>
      <c r="C88" s="1519"/>
      <c r="D88" s="1004"/>
      <c r="E88" s="1003">
        <f>'5-Tool Mobiliteit B'!D107</f>
        <v>0</v>
      </c>
      <c r="F88" s="989"/>
      <c r="G88" s="989"/>
      <c r="H88" s="989"/>
      <c r="I88" s="989"/>
      <c r="J88" s="989"/>
      <c r="K88" s="989"/>
      <c r="AA88" s="462"/>
      <c r="AB88" s="462"/>
      <c r="AC88" s="462"/>
    </row>
    <row r="89" spans="1:29" ht="15" customHeight="1">
      <c r="A89" s="989"/>
      <c r="B89" s="1518" t="str">
        <f>'5-Tool Mobiliteit B'!E111</f>
        <v>Gedeelde voertuigen</v>
      </c>
      <c r="C89" s="1519"/>
      <c r="D89" s="1004"/>
      <c r="E89" s="1003">
        <f>'5-Tool Mobiliteit B'!D111</f>
        <v>0</v>
      </c>
      <c r="F89" s="989"/>
      <c r="G89" s="989"/>
      <c r="H89" s="989"/>
      <c r="I89" s="989"/>
      <c r="J89" s="989"/>
      <c r="K89" s="989"/>
      <c r="AA89" s="462"/>
      <c r="AB89" s="462"/>
      <c r="AC89" s="462"/>
    </row>
    <row r="90" spans="1:29" ht="30" customHeight="1">
      <c r="A90" s="989"/>
      <c r="B90" s="989"/>
      <c r="C90" s="989"/>
      <c r="D90" s="989"/>
      <c r="E90" s="989"/>
      <c r="F90" s="989"/>
      <c r="G90" s="989"/>
      <c r="H90" s="989"/>
      <c r="I90" s="989"/>
      <c r="J90" s="989"/>
      <c r="K90" s="989"/>
      <c r="AA90" s="462"/>
      <c r="AB90" s="462"/>
      <c r="AC90" s="462"/>
    </row>
    <row r="91" spans="1:29">
      <c r="AA91" s="462"/>
      <c r="AB91" s="462"/>
      <c r="AC91" s="462"/>
    </row>
    <row r="92" spans="1:29" ht="27.75" customHeight="1">
      <c r="A92" s="462"/>
      <c r="B92" s="462"/>
      <c r="C92" s="462"/>
      <c r="D92" s="462"/>
      <c r="E92" s="462"/>
      <c r="F92" s="462"/>
      <c r="G92" s="462"/>
      <c r="H92" s="462"/>
      <c r="I92" s="462"/>
      <c r="J92" s="462"/>
      <c r="K92" s="462"/>
      <c r="L92" s="462"/>
      <c r="M92" s="462"/>
      <c r="N92" s="462"/>
      <c r="O92" s="462"/>
      <c r="P92" s="462"/>
      <c r="Q92" s="462"/>
      <c r="R92" s="462"/>
      <c r="S92" s="462"/>
      <c r="T92" s="462"/>
      <c r="U92" s="462"/>
      <c r="V92" s="462"/>
      <c r="W92" s="462"/>
      <c r="X92" s="462"/>
      <c r="Y92" s="462"/>
      <c r="Z92" s="462"/>
      <c r="AA92" s="462"/>
      <c r="AB92" s="462"/>
      <c r="AC92" s="462"/>
    </row>
    <row r="93" spans="1:29" ht="27.75" customHeight="1">
      <c r="A93" s="335"/>
      <c r="AA93" s="462"/>
      <c r="AB93" s="462"/>
      <c r="AC93" s="462"/>
    </row>
    <row r="94" spans="1:29" ht="27.75" customHeight="1">
      <c r="A94" s="1507" t="s">
        <v>1725</v>
      </c>
      <c r="B94" s="1507"/>
      <c r="C94" s="1507"/>
      <c r="D94" s="1507"/>
      <c r="E94" s="1507"/>
      <c r="F94" s="1507"/>
      <c r="G94" s="1507"/>
      <c r="H94" s="1507"/>
      <c r="I94" s="1508"/>
      <c r="J94" s="1508"/>
      <c r="AA94" s="462"/>
      <c r="AB94" s="462"/>
      <c r="AC94" s="462"/>
    </row>
    <row r="95" spans="1:29" ht="27.75" customHeight="1" thickBot="1">
      <c r="F95" s="217"/>
      <c r="G95" s="217"/>
      <c r="H95" s="217"/>
      <c r="I95" s="217"/>
      <c r="J95" s="217"/>
      <c r="AA95" s="462"/>
      <c r="AB95" s="462"/>
      <c r="AC95" s="462"/>
    </row>
    <row r="96" spans="1:29" ht="27.75" customHeight="1">
      <c r="A96" s="300"/>
      <c r="B96" s="259" t="s">
        <v>378</v>
      </c>
      <c r="C96" s="259" t="s">
        <v>1727</v>
      </c>
      <c r="D96" s="259" t="s">
        <v>1728</v>
      </c>
      <c r="E96" s="259" t="s">
        <v>1729</v>
      </c>
      <c r="F96" s="259" t="s">
        <v>361</v>
      </c>
      <c r="G96" s="259" t="s">
        <v>361</v>
      </c>
      <c r="H96" s="259" t="s">
        <v>1732</v>
      </c>
      <c r="I96" s="258" t="s">
        <v>1733</v>
      </c>
      <c r="AA96" s="462"/>
      <c r="AB96" s="462"/>
      <c r="AC96" s="462"/>
    </row>
    <row r="97" spans="1:29" ht="27.75" customHeight="1" thickBot="1">
      <c r="A97" s="299" t="s">
        <v>1726</v>
      </c>
      <c r="B97" s="255"/>
      <c r="C97" s="255"/>
      <c r="D97" s="255"/>
      <c r="E97" s="255" t="s">
        <v>1747</v>
      </c>
      <c r="F97" s="255" t="s">
        <v>1730</v>
      </c>
      <c r="G97" s="255" t="s">
        <v>1731</v>
      </c>
      <c r="H97" s="255"/>
      <c r="I97" s="254" t="s">
        <v>1734</v>
      </c>
      <c r="AA97" s="462"/>
      <c r="AB97" s="462"/>
      <c r="AC97" s="462"/>
    </row>
    <row r="98" spans="1:29" ht="27.75" customHeight="1">
      <c r="B98" s="181" t="s">
        <v>1735</v>
      </c>
      <c r="C98" s="181" t="s">
        <v>1735</v>
      </c>
      <c r="D98" s="297">
        <f t="shared" ref="D98:I98" si="5">D99+SUM(D103:D110)</f>
        <v>0</v>
      </c>
      <c r="E98" s="297">
        <f t="shared" si="5"/>
        <v>0</v>
      </c>
      <c r="F98" s="297">
        <f t="shared" si="5"/>
        <v>0</v>
      </c>
      <c r="G98" s="297">
        <f t="shared" si="5"/>
        <v>0</v>
      </c>
      <c r="H98" s="297">
        <f t="shared" si="5"/>
        <v>0</v>
      </c>
      <c r="I98" s="296">
        <f t="shared" si="5"/>
        <v>0</v>
      </c>
      <c r="AA98" s="462"/>
      <c r="AB98" s="462"/>
      <c r="AC98" s="462"/>
    </row>
    <row r="99" spans="1:29" ht="27.75" customHeight="1">
      <c r="A99" s="280" t="str">
        <f t="shared" ref="A99:A110" si="6">IF($E$98&gt;0,E99/$E$98,"")</f>
        <v/>
      </c>
      <c r="B99" s="180" t="s">
        <v>1736</v>
      </c>
      <c r="C99" s="180" t="s">
        <v>1737</v>
      </c>
      <c r="D99" s="248">
        <f t="shared" ref="D99:I99" si="7">SUM(D100:D102)</f>
        <v>0</v>
      </c>
      <c r="E99" s="248">
        <f t="shared" si="7"/>
        <v>0</v>
      </c>
      <c r="F99" s="248">
        <f t="shared" si="7"/>
        <v>0</v>
      </c>
      <c r="G99" s="248">
        <f t="shared" si="7"/>
        <v>0</v>
      </c>
      <c r="H99" s="248">
        <f t="shared" si="7"/>
        <v>0</v>
      </c>
      <c r="I99" s="295">
        <f t="shared" si="7"/>
        <v>0</v>
      </c>
      <c r="AA99" s="462"/>
      <c r="AB99" s="462"/>
      <c r="AC99" s="462"/>
    </row>
    <row r="100" spans="1:29" ht="27.75" customHeight="1">
      <c r="A100" s="293" t="str">
        <f t="shared" si="6"/>
        <v/>
      </c>
      <c r="C100" s="292" t="s">
        <v>1173</v>
      </c>
      <c r="D100" s="279">
        <f t="shared" ref="D100:D110" si="8">E51</f>
        <v>0</v>
      </c>
      <c r="E100" s="283">
        <f t="shared" ref="E100:E110" si="9">D51+G29</f>
        <v>0</v>
      </c>
      <c r="F100" s="283">
        <f>$E100*'5-Mobilité Data'!L20+$D100*'5-Mobilité Data'!P20</f>
        <v>0</v>
      </c>
      <c r="G100" s="283">
        <f>$E100*'5-Mobilité Data'!M20+$D100*'5-Mobilité Data'!Q20</f>
        <v>0</v>
      </c>
      <c r="H100" s="283">
        <f>$E100*'5-Mobilité Data'!N20+D100*10</f>
        <v>0</v>
      </c>
      <c r="I100" s="289">
        <f t="shared" ref="I100:I110" si="10">F51</f>
        <v>0</v>
      </c>
      <c r="AA100" s="462"/>
      <c r="AB100" s="462"/>
      <c r="AC100" s="462"/>
    </row>
    <row r="101" spans="1:29" ht="27.75" customHeight="1">
      <c r="A101" s="293" t="str">
        <f t="shared" si="6"/>
        <v/>
      </c>
      <c r="C101" s="292" t="s">
        <v>1191</v>
      </c>
      <c r="D101" s="279">
        <f t="shared" si="8"/>
        <v>0</v>
      </c>
      <c r="E101" s="283">
        <f t="shared" si="9"/>
        <v>0</v>
      </c>
      <c r="F101" s="283">
        <f>$E101*'5-Mobilité Data'!L21+$D101*'5-Mobilité Data'!P21</f>
        <v>0</v>
      </c>
      <c r="G101" s="283">
        <f>$E101*'5-Mobilité Data'!M21+$D101*'5-Mobilité Data'!Q21</f>
        <v>0</v>
      </c>
      <c r="H101" s="283">
        <f>$E101*'5-Mobilité Data'!N21+D101*10</f>
        <v>0</v>
      </c>
      <c r="I101" s="289">
        <f t="shared" si="10"/>
        <v>0</v>
      </c>
      <c r="AA101" s="462"/>
      <c r="AB101" s="462"/>
      <c r="AC101" s="462"/>
    </row>
    <row r="102" spans="1:29" ht="27.75" customHeight="1">
      <c r="A102" s="293" t="str">
        <f t="shared" si="6"/>
        <v/>
      </c>
      <c r="C102" s="292" t="s">
        <v>1738</v>
      </c>
      <c r="D102" s="279">
        <f t="shared" si="8"/>
        <v>0</v>
      </c>
      <c r="E102" s="283">
        <f t="shared" si="9"/>
        <v>0</v>
      </c>
      <c r="F102" s="283">
        <f>$E102*'5-Mobilité Data'!L22+$D102*'5-Mobilité Data'!P22</f>
        <v>0</v>
      </c>
      <c r="G102" s="283">
        <f>$E102*'5-Mobilité Data'!M22+$D102*'5-Mobilité Data'!Q22</f>
        <v>0</v>
      </c>
      <c r="H102" s="283">
        <f>$E102*'5-Mobilité Data'!N22+D102*10</f>
        <v>0</v>
      </c>
      <c r="I102" s="289">
        <f t="shared" si="10"/>
        <v>0</v>
      </c>
      <c r="AA102" s="462"/>
      <c r="AB102" s="462"/>
      <c r="AC102" s="462"/>
    </row>
    <row r="103" spans="1:29" ht="27.75" customHeight="1">
      <c r="A103" s="280" t="str">
        <f t="shared" si="6"/>
        <v/>
      </c>
      <c r="B103" s="290" t="s">
        <v>1739</v>
      </c>
      <c r="C103" s="290" t="s">
        <v>1740</v>
      </c>
      <c r="D103" s="279">
        <f t="shared" si="8"/>
        <v>0</v>
      </c>
      <c r="E103" s="248">
        <f t="shared" si="9"/>
        <v>0</v>
      </c>
      <c r="F103" s="283">
        <f>$E103*'5-Mobilité Data'!L23+$D103*'5-Mobilité Data'!P23</f>
        <v>0</v>
      </c>
      <c r="G103" s="283">
        <f>$E103*'5-Mobilité Data'!M23+$D103*'5-Mobilité Data'!Q23</f>
        <v>0</v>
      </c>
      <c r="H103" s="283">
        <f>$E103*'5-Mobilité Data'!N23+D103*10</f>
        <v>0</v>
      </c>
      <c r="I103" s="289">
        <f t="shared" si="10"/>
        <v>0</v>
      </c>
      <c r="AA103" s="462"/>
      <c r="AB103" s="462"/>
      <c r="AC103" s="462"/>
    </row>
    <row r="104" spans="1:29" ht="27.75" customHeight="1">
      <c r="A104" s="280" t="str">
        <f t="shared" si="6"/>
        <v/>
      </c>
      <c r="B104" s="180" t="s">
        <v>1741</v>
      </c>
      <c r="C104" s="243" t="s">
        <v>1742</v>
      </c>
      <c r="D104" s="279">
        <f t="shared" si="8"/>
        <v>0</v>
      </c>
      <c r="E104" s="248">
        <f t="shared" si="9"/>
        <v>0</v>
      </c>
      <c r="F104" s="283">
        <f>$E104*'5-Mobilité Data'!L24+$D104*'5-Mobilité Data'!P21</f>
        <v>0</v>
      </c>
      <c r="G104" s="283">
        <f>$E104*'5-Mobilité Data'!M24+$D104*'5-Mobilité Data'!Q24</f>
        <v>0</v>
      </c>
      <c r="H104" s="283">
        <f>$E104*'5-Mobilité Data'!N24+D104*10</f>
        <v>0</v>
      </c>
      <c r="I104" s="289">
        <f t="shared" si="10"/>
        <v>0</v>
      </c>
      <c r="AA104" s="462"/>
      <c r="AB104" s="462"/>
      <c r="AC104" s="462"/>
    </row>
    <row r="105" spans="1:29" ht="27.75" customHeight="1">
      <c r="A105" s="280" t="str">
        <f t="shared" si="6"/>
        <v/>
      </c>
      <c r="B105" s="180" t="s">
        <v>1195</v>
      </c>
      <c r="C105" s="243" t="s">
        <v>1743</v>
      </c>
      <c r="D105" s="279">
        <f t="shared" si="8"/>
        <v>0</v>
      </c>
      <c r="E105" s="248">
        <f t="shared" si="9"/>
        <v>0</v>
      </c>
      <c r="F105" s="283">
        <f>$E105*'5-Mobilité Data'!L25</f>
        <v>0</v>
      </c>
      <c r="G105" s="282">
        <f>$E105*'5-Mobilité Data'!M25</f>
        <v>0</v>
      </c>
      <c r="H105" s="282">
        <f>$E105*'5-Mobilité Data'!N25</f>
        <v>0</v>
      </c>
      <c r="I105" s="287">
        <f t="shared" si="10"/>
        <v>0</v>
      </c>
      <c r="AA105" s="462"/>
      <c r="AB105" s="462"/>
      <c r="AC105" s="462"/>
    </row>
    <row r="106" spans="1:29" ht="27.75" customHeight="1">
      <c r="A106" s="280" t="str">
        <f t="shared" si="6"/>
        <v/>
      </c>
      <c r="B106" s="180" t="s">
        <v>223</v>
      </c>
      <c r="C106" s="243" t="s">
        <v>1743</v>
      </c>
      <c r="D106" s="279">
        <f t="shared" si="8"/>
        <v>0</v>
      </c>
      <c r="E106" s="248">
        <f t="shared" si="9"/>
        <v>0</v>
      </c>
      <c r="F106" s="283">
        <f>$E106*'5-Mobilité Data'!L26</f>
        <v>0</v>
      </c>
      <c r="G106" s="282">
        <f>$E106*'5-Mobilité Data'!M26</f>
        <v>0</v>
      </c>
      <c r="H106" s="282">
        <f>$E106*'5-Mobilité Data'!N26</f>
        <v>0</v>
      </c>
      <c r="I106" s="287">
        <f t="shared" si="10"/>
        <v>0</v>
      </c>
      <c r="AA106" s="462"/>
      <c r="AB106" s="462"/>
      <c r="AC106" s="462"/>
    </row>
    <row r="107" spans="1:29" ht="27.75" customHeight="1">
      <c r="A107" s="280" t="str">
        <f t="shared" si="6"/>
        <v/>
      </c>
      <c r="B107" s="180" t="s">
        <v>220</v>
      </c>
      <c r="C107" s="243" t="s">
        <v>364</v>
      </c>
      <c r="D107" s="279">
        <f t="shared" si="8"/>
        <v>0</v>
      </c>
      <c r="E107" s="248">
        <f t="shared" si="9"/>
        <v>0</v>
      </c>
      <c r="F107" s="283">
        <f>$E107*'5-Mobilité Data'!L27</f>
        <v>0</v>
      </c>
      <c r="G107" s="282">
        <f>$E107*'5-Mobilité Data'!M27</f>
        <v>0</v>
      </c>
      <c r="H107" s="282">
        <f>$E107*'5-Mobilité Data'!N27</f>
        <v>0</v>
      </c>
      <c r="I107" s="287">
        <f t="shared" si="10"/>
        <v>0</v>
      </c>
      <c r="AA107" s="462"/>
      <c r="AB107" s="462"/>
      <c r="AC107" s="462"/>
    </row>
    <row r="108" spans="1:29" ht="27.75" customHeight="1">
      <c r="A108" s="280" t="str">
        <f t="shared" si="6"/>
        <v/>
      </c>
      <c r="B108" s="180" t="s">
        <v>1744</v>
      </c>
      <c r="C108" s="243" t="s">
        <v>1745</v>
      </c>
      <c r="D108" s="279">
        <f t="shared" si="8"/>
        <v>0</v>
      </c>
      <c r="E108" s="248">
        <f t="shared" si="9"/>
        <v>0</v>
      </c>
      <c r="F108" s="283">
        <f>$E108*'5-Mobilité Data'!L28</f>
        <v>0</v>
      </c>
      <c r="G108" s="282">
        <f>$E108*'5-Mobilité Data'!M28</f>
        <v>0</v>
      </c>
      <c r="H108" s="282">
        <f>$E108*'5-Mobilité Data'!N28</f>
        <v>0</v>
      </c>
      <c r="I108" s="281">
        <f t="shared" si="10"/>
        <v>0</v>
      </c>
      <c r="AA108" s="462"/>
      <c r="AB108" s="462"/>
      <c r="AC108" s="462"/>
    </row>
    <row r="109" spans="1:29" ht="27.75" customHeight="1">
      <c r="A109" s="280" t="str">
        <f t="shared" si="6"/>
        <v/>
      </c>
      <c r="B109" s="180" t="s">
        <v>1197</v>
      </c>
      <c r="C109" s="243"/>
      <c r="D109" s="279">
        <f t="shared" si="8"/>
        <v>0</v>
      </c>
      <c r="E109" s="248">
        <f t="shared" si="9"/>
        <v>0</v>
      </c>
      <c r="F109" s="283">
        <f>$E109*'5-Mobilité Data'!L29</f>
        <v>0</v>
      </c>
      <c r="G109" s="282">
        <f>$E109*'5-Mobilité Data'!M29</f>
        <v>0</v>
      </c>
      <c r="H109" s="282">
        <f>$E109*'5-Mobilité Data'!N29</f>
        <v>0</v>
      </c>
      <c r="I109" s="281">
        <f t="shared" si="10"/>
        <v>0</v>
      </c>
      <c r="AA109" s="462"/>
      <c r="AB109" s="462"/>
      <c r="AC109" s="462"/>
    </row>
    <row r="110" spans="1:29" ht="27.75" customHeight="1">
      <c r="A110" s="280" t="str">
        <f t="shared" si="6"/>
        <v/>
      </c>
      <c r="B110" s="180" t="s">
        <v>1198</v>
      </c>
      <c r="C110" s="243"/>
      <c r="D110" s="279">
        <f t="shared" si="8"/>
        <v>0</v>
      </c>
      <c r="E110" s="248">
        <f t="shared" si="9"/>
        <v>0</v>
      </c>
      <c r="F110" s="283">
        <f>$E110*'5-Mobilité Data'!L30</f>
        <v>0</v>
      </c>
      <c r="G110" s="282">
        <f>$E110*'5-Mobilité Data'!M30</f>
        <v>0</v>
      </c>
      <c r="H110" s="282">
        <f>$E110*'5-Mobilité Data'!N30</f>
        <v>0</v>
      </c>
      <c r="I110" s="281">
        <f t="shared" si="10"/>
        <v>0</v>
      </c>
      <c r="AA110" s="462"/>
      <c r="AB110" s="462"/>
      <c r="AC110" s="462"/>
    </row>
    <row r="111" spans="1:29" ht="27.75" customHeight="1">
      <c r="A111" s="280"/>
      <c r="C111" s="243"/>
      <c r="D111" s="279"/>
      <c r="E111" s="248"/>
      <c r="F111" s="283"/>
      <c r="G111" s="282"/>
      <c r="H111" s="282"/>
      <c r="I111" s="281"/>
      <c r="J111" s="281"/>
      <c r="AA111" s="462"/>
      <c r="AB111" s="462"/>
      <c r="AC111" s="462"/>
    </row>
    <row r="112" spans="1:29" ht="27.75" customHeight="1">
      <c r="A112" s="280"/>
      <c r="C112" s="243"/>
      <c r="D112" s="279"/>
      <c r="E112" s="248"/>
      <c r="F112" s="283"/>
      <c r="G112" s="282"/>
      <c r="H112" s="282"/>
      <c r="I112" s="281"/>
      <c r="J112" s="281"/>
      <c r="AA112" s="462"/>
      <c r="AB112" s="462"/>
      <c r="AC112" s="462"/>
    </row>
    <row r="113" spans="1:29" ht="27.75" customHeight="1" thickBot="1">
      <c r="A113" s="1529" t="s">
        <v>1746</v>
      </c>
      <c r="B113" s="1530"/>
      <c r="C113" s="1530"/>
      <c r="D113" s="1530"/>
      <c r="E113" s="1530"/>
      <c r="F113" s="1530"/>
      <c r="G113" s="1530"/>
      <c r="H113" s="1530"/>
      <c r="I113" s="1530"/>
      <c r="J113" s="1530"/>
      <c r="AA113" s="462"/>
      <c r="AB113" s="462"/>
      <c r="AC113" s="462"/>
    </row>
    <row r="114" spans="1:29" ht="27.75" customHeight="1">
      <c r="A114" s="280"/>
      <c r="C114" s="243"/>
      <c r="D114" s="279"/>
      <c r="E114" s="260" t="s">
        <v>1729</v>
      </c>
      <c r="F114" s="259" t="s">
        <v>361</v>
      </c>
      <c r="G114" s="259" t="s">
        <v>361</v>
      </c>
      <c r="H114" s="259" t="s">
        <v>1732</v>
      </c>
      <c r="I114" s="258" t="s">
        <v>1733</v>
      </c>
      <c r="AA114" s="462"/>
      <c r="AB114" s="462"/>
      <c r="AC114" s="462"/>
    </row>
    <row r="115" spans="1:29" ht="27.75" customHeight="1" thickBot="1">
      <c r="A115" s="280"/>
      <c r="C115" s="243"/>
      <c r="D115" s="279"/>
      <c r="E115" s="256" t="s">
        <v>1747</v>
      </c>
      <c r="F115" s="255" t="s">
        <v>1730</v>
      </c>
      <c r="G115" s="255" t="s">
        <v>1731</v>
      </c>
      <c r="H115" s="255"/>
      <c r="I115" s="254" t="s">
        <v>1734</v>
      </c>
      <c r="AA115" s="462"/>
      <c r="AB115" s="462"/>
      <c r="AC115" s="462"/>
    </row>
    <row r="116" spans="1:29" ht="27.75" customHeight="1">
      <c r="A116" s="274" t="s">
        <v>1746</v>
      </c>
      <c r="B116" s="274"/>
      <c r="C116" s="273" t="s">
        <v>1748</v>
      </c>
      <c r="D116" s="272" t="s">
        <v>1749</v>
      </c>
      <c r="E116" s="278" t="str">
        <f>IF('2-Algemene gegevens'!$F$7&gt;0,E98/'2-Algemene gegevens'!$F$7,"nd")</f>
        <v>nd</v>
      </c>
      <c r="F116" s="278" t="str">
        <f>IF('2-Algemene gegevens'!$F$7&gt;0,F98/'2-Algemene gegevens'!$F$7,"nd")</f>
        <v>nd</v>
      </c>
      <c r="G116" s="278" t="str">
        <f>IF('2-Algemene gegevens'!$F$7&gt;0,G98/'2-Algemene gegevens'!$F$7,"nd")</f>
        <v>nd</v>
      </c>
      <c r="H116" s="278" t="str">
        <f>IF('2-Algemene gegevens'!$F$7&gt;0,H98/'2-Algemene gegevens'!$F$7,"nd")</f>
        <v>nd</v>
      </c>
      <c r="I116" s="278" t="str">
        <f>IF('2-Algemene gegevens'!$F$7&gt;0,I98/'2-Algemene gegevens'!$F$7,"nd")</f>
        <v>nd</v>
      </c>
      <c r="M116" s="276"/>
      <c r="N116" s="276"/>
      <c r="O116" s="276"/>
      <c r="P116" s="275"/>
      <c r="AA116" s="462"/>
      <c r="AB116" s="462"/>
      <c r="AC116" s="462"/>
    </row>
    <row r="117" spans="1:29" ht="27.75" customHeight="1">
      <c r="A117" s="274"/>
      <c r="B117" s="274"/>
      <c r="C117" s="273" t="s">
        <v>1750</v>
      </c>
      <c r="D117" s="272" t="s">
        <v>1751</v>
      </c>
      <c r="E117" s="277" t="str">
        <f>IF('2-Algemene gegevens'!$F$5&gt;0,E98/'2-Algemene gegevens'!$F$5,"nd")</f>
        <v>nd</v>
      </c>
      <c r="F117" s="277" t="str">
        <f>IF('2-Algemene gegevens'!$F$5&gt;0,F98/'2-Algemene gegevens'!$F$5,"nd")</f>
        <v>nd</v>
      </c>
      <c r="G117" s="277" t="str">
        <f>IF('2-Algemene gegevens'!$F$5&gt;0,G98/'2-Algemene gegevens'!$F$5,"nd")</f>
        <v>nd</v>
      </c>
      <c r="H117" s="277" t="str">
        <f>IF('2-Algemene gegevens'!$F$5&gt;0,H98/'2-Algemene gegevens'!$F$5,"nd")</f>
        <v>nd</v>
      </c>
      <c r="I117" s="277" t="str">
        <f>IF('2-Algemene gegevens'!$F$5&gt;0,I98/'2-Algemene gegevens'!$F$5,"nd")</f>
        <v>nd</v>
      </c>
      <c r="M117" s="276"/>
      <c r="N117" s="276"/>
      <c r="O117" s="276"/>
      <c r="P117" s="275"/>
      <c r="AA117" s="462"/>
      <c r="AB117" s="462"/>
      <c r="AC117" s="462"/>
    </row>
    <row r="118" spans="1:29" ht="27.75" customHeight="1">
      <c r="A118" s="274"/>
      <c r="B118" s="274"/>
      <c r="C118" s="273" t="s">
        <v>1752</v>
      </c>
      <c r="D118" s="272" t="s">
        <v>363</v>
      </c>
      <c r="E118" s="271" t="str">
        <f>IF('2-Algemene gegevens'!$F$8&gt;0,E98/'2-Algemene gegevens'!$F$8*1000,"nd")</f>
        <v>nd</v>
      </c>
      <c r="F118" s="271" t="str">
        <f>IF('2-Algemene gegevens'!$F$8&gt;0,F98/'2-Algemene gegevens'!$F$8*1000,"nd")</f>
        <v>nd</v>
      </c>
      <c r="G118" s="271" t="str">
        <f>IF('2-Algemene gegevens'!$F$8&gt;0,G98/'2-Algemene gegevens'!$F$8*1000,"nd")</f>
        <v>nd</v>
      </c>
      <c r="H118" s="271" t="str">
        <f>IF('2-Algemene gegevens'!$F$8&gt;0,H98/'2-Algemene gegevens'!$F$8*1000,"nd")</f>
        <v>nd</v>
      </c>
      <c r="I118" s="271" t="str">
        <f>IF('2-Algemene gegevens'!$F$8&gt;0,I98/'2-Algemene gegevens'!$F$8*1000,"nd")</f>
        <v>nd</v>
      </c>
      <c r="AA118" s="462"/>
      <c r="AB118" s="462"/>
      <c r="AC118" s="462"/>
    </row>
    <row r="119" spans="1:29" ht="27.75" customHeight="1">
      <c r="A119" s="269" t="s">
        <v>362</v>
      </c>
      <c r="B119" s="269"/>
      <c r="C119" s="270" t="s">
        <v>1748</v>
      </c>
      <c r="D119" s="269"/>
      <c r="E119" s="269"/>
      <c r="F119" s="268" t="str">
        <f>IF('2-Algemene gegevens'!$F$7&gt;0,F125/'2-Algemene gegevens'!$F$7,"nd")</f>
        <v>nd</v>
      </c>
      <c r="G119" s="268" t="str">
        <f>IF('2-Algemene gegevens'!$F$7&gt;0,G125/'2-Algemene gegevens'!$F$7,"nd")</f>
        <v>nd</v>
      </c>
      <c r="H119" s="268" t="str">
        <f>IF('2-Algemene gegevens'!$F$7&gt;0,H125/'2-Algemene gegevens'!$F$7,"nd")</f>
        <v>nd</v>
      </c>
      <c r="I119" s="268" t="str">
        <f>IF('2-Algemene gegevens'!$F$7&gt;0,I125/'2-Algemene gegevens'!$F$7,"nd")</f>
        <v>nd</v>
      </c>
      <c r="AA119" s="462"/>
      <c r="AB119" s="462"/>
      <c r="AC119" s="462"/>
    </row>
    <row r="120" spans="1:29" ht="27.75" customHeight="1">
      <c r="AA120" s="462"/>
      <c r="AB120" s="462"/>
      <c r="AC120" s="462"/>
    </row>
    <row r="121" spans="1:29" ht="27.75" customHeight="1">
      <c r="B121" s="263"/>
      <c r="C121" s="262"/>
      <c r="D121" s="261"/>
      <c r="E121" s="267"/>
      <c r="F121" s="267"/>
      <c r="G121" s="266"/>
      <c r="H121" s="266"/>
      <c r="I121" s="265"/>
      <c r="J121" s="257"/>
      <c r="AA121" s="462"/>
      <c r="AB121" s="462"/>
      <c r="AC121" s="462"/>
    </row>
    <row r="122" spans="1:29" ht="27.75" customHeight="1" thickBot="1">
      <c r="A122" s="1531" t="s">
        <v>1753</v>
      </c>
      <c r="B122" s="1532"/>
      <c r="C122" s="1532"/>
      <c r="D122" s="1532"/>
      <c r="E122" s="1532"/>
      <c r="F122" s="1532"/>
      <c r="G122" s="1532"/>
      <c r="H122" s="1532"/>
      <c r="I122" s="1532"/>
      <c r="J122" s="1532"/>
      <c r="AA122" s="462"/>
      <c r="AB122" s="462"/>
      <c r="AC122" s="462"/>
    </row>
    <row r="123" spans="1:29" ht="27.75" customHeight="1">
      <c r="A123" s="264"/>
      <c r="B123" s="263"/>
      <c r="C123" s="262"/>
      <c r="D123" s="261"/>
      <c r="E123" s="260" t="s">
        <v>1729</v>
      </c>
      <c r="F123" s="259" t="s">
        <v>361</v>
      </c>
      <c r="G123" s="259" t="s">
        <v>361</v>
      </c>
      <c r="H123" s="259" t="s">
        <v>1732</v>
      </c>
      <c r="I123" s="258" t="s">
        <v>1733</v>
      </c>
      <c r="J123" s="257"/>
      <c r="AA123" s="462"/>
      <c r="AB123" s="462"/>
      <c r="AC123" s="462"/>
    </row>
    <row r="124" spans="1:29" ht="27.75" customHeight="1" thickBot="1">
      <c r="E124" s="256" t="s">
        <v>1747</v>
      </c>
      <c r="F124" s="255" t="s">
        <v>1730</v>
      </c>
      <c r="G124" s="255" t="s">
        <v>1731</v>
      </c>
      <c r="H124" s="255"/>
      <c r="I124" s="254" t="s">
        <v>1734</v>
      </c>
      <c r="AA124" s="462"/>
      <c r="AB124" s="462"/>
      <c r="AC124" s="462"/>
    </row>
    <row r="125" spans="1:29" ht="27.75" customHeight="1">
      <c r="A125" s="253"/>
      <c r="B125" s="336" t="s">
        <v>1754</v>
      </c>
      <c r="C125" s="252" t="s">
        <v>1755</v>
      </c>
      <c r="D125" s="180" t="s">
        <v>1756</v>
      </c>
      <c r="E125" s="217">
        <f>E126</f>
        <v>0</v>
      </c>
      <c r="F125" s="251">
        <f>$E$125*(($C$126+$C$127/2)*'5-Mobilité Data'!L19+$C$128*'5-Mobilité Data'!L25+$C$129*'5-Mobilité Data'!L28)</f>
        <v>0</v>
      </c>
      <c r="G125" s="248">
        <f>$E$125*(($C$126+$C$127/2)*'5-Mobilité Data'!M19+$C$128*'5-Mobilité Data'!M25+$C$129*'5-Mobilité Data'!M28)</f>
        <v>0</v>
      </c>
      <c r="H125" s="251">
        <f>$E$125*(($C$126+$C$127/2)*'5-Mobilité Data'!N19+$C$128*'5-Mobilité Data'!N25+$C$129*'5-Mobilité Data'!N29)</f>
        <v>0</v>
      </c>
      <c r="I125" s="250">
        <f>$E$129*(($C$126+$C$127/2)*'5-Mobilité Data'!R19+$C$128*AVERAGE('5-Mobilité Data'!R25:R27)+$C$129*AVERAGE('5-Mobilité Data'!R29:R30))</f>
        <v>0</v>
      </c>
      <c r="K125" s="180" t="s">
        <v>360</v>
      </c>
      <c r="AA125" s="462"/>
      <c r="AB125" s="462"/>
      <c r="AC125" s="462"/>
    </row>
    <row r="126" spans="1:29" ht="27.75" customHeight="1">
      <c r="A126" s="195" t="s">
        <v>359</v>
      </c>
      <c r="B126" s="245" t="s">
        <v>1757</v>
      </c>
      <c r="C126" s="249">
        <f>D126/100</f>
        <v>0.5</v>
      </c>
      <c r="D126" s="347">
        <v>50</v>
      </c>
      <c r="E126" s="217">
        <f>E127</f>
        <v>0</v>
      </c>
      <c r="F126" s="247">
        <f>F125+0.25*(F$129-F$125)</f>
        <v>0</v>
      </c>
      <c r="G126" s="248">
        <f>$G$125+0.25*(G$129-G$125)</f>
        <v>0</v>
      </c>
      <c r="H126" s="247">
        <f>H125+0.25*(H$129-H$125)</f>
        <v>0</v>
      </c>
      <c r="I126" s="246">
        <f>I125+0.25*(I$129-I$125)</f>
        <v>0</v>
      </c>
      <c r="K126" s="180" t="s">
        <v>358</v>
      </c>
      <c r="AA126" s="462"/>
      <c r="AB126" s="462"/>
      <c r="AC126" s="462"/>
    </row>
    <row r="127" spans="1:29" ht="27.75" customHeight="1">
      <c r="A127" s="195" t="s">
        <v>357</v>
      </c>
      <c r="B127" s="245" t="s">
        <v>1758</v>
      </c>
      <c r="C127" s="249">
        <f>D127/100</f>
        <v>0.1</v>
      </c>
      <c r="D127" s="347">
        <v>10</v>
      </c>
      <c r="E127" s="217">
        <f>E128</f>
        <v>0</v>
      </c>
      <c r="F127" s="247">
        <f>F125+0.5*(F$129-F$125)</f>
        <v>0</v>
      </c>
      <c r="G127" s="248">
        <f>$G$125+0.5*(G$129-G$125)</f>
        <v>0</v>
      </c>
      <c r="H127" s="247">
        <f>H125+0.5*(H$129-H$125)</f>
        <v>0</v>
      </c>
      <c r="I127" s="246">
        <f>I125+0.5*(I$129-I$125)</f>
        <v>0</v>
      </c>
      <c r="K127" s="180" t="s">
        <v>356</v>
      </c>
      <c r="AA127" s="462"/>
      <c r="AB127" s="462"/>
      <c r="AC127" s="462"/>
    </row>
    <row r="128" spans="1:29" ht="27.75" customHeight="1">
      <c r="A128" s="195" t="s">
        <v>355</v>
      </c>
      <c r="B128" s="245" t="s">
        <v>1759</v>
      </c>
      <c r="C128" s="249">
        <f>D128/100</f>
        <v>0.3</v>
      </c>
      <c r="D128" s="347">
        <v>30</v>
      </c>
      <c r="E128" s="217">
        <f>E129</f>
        <v>0</v>
      </c>
      <c r="F128" s="247">
        <f>F125+0.75*(F$129-F$125)</f>
        <v>0</v>
      </c>
      <c r="G128" s="248">
        <f>$G$125+0.75*(G$129-G$125)</f>
        <v>0</v>
      </c>
      <c r="H128" s="247">
        <f>H125+0.75*(H$129-H$125)</f>
        <v>0</v>
      </c>
      <c r="I128" s="246">
        <f>I125+0.75*(I$129-I$125)</f>
        <v>0</v>
      </c>
      <c r="K128" s="180" t="s">
        <v>354</v>
      </c>
      <c r="AA128" s="462"/>
      <c r="AB128" s="462"/>
      <c r="AC128" s="462"/>
    </row>
    <row r="129" spans="1:29" ht="27.75" customHeight="1" thickBot="1">
      <c r="A129" s="195" t="s">
        <v>353</v>
      </c>
      <c r="B129" s="245" t="s">
        <v>1760</v>
      </c>
      <c r="C129" s="244">
        <f>D129/100</f>
        <v>0.1</v>
      </c>
      <c r="D129" s="347">
        <v>10</v>
      </c>
      <c r="E129" s="242">
        <f>E98+(D100/'5-Mobilité Data'!N20+D101/'5-Mobilité Data'!N21+D102/'5-Mobilité Data'!N22)*10</f>
        <v>0</v>
      </c>
      <c r="F129" s="240">
        <f>$E129*'5-Mobilité Data'!L21</f>
        <v>0</v>
      </c>
      <c r="G129" s="241">
        <f>$E129*'5-Mobilité Data'!M21</f>
        <v>0</v>
      </c>
      <c r="H129" s="240">
        <f>$E129*'5-Mobilité Data'!N21</f>
        <v>0</v>
      </c>
      <c r="I129" s="239">
        <f>$E129*CGV</f>
        <v>0</v>
      </c>
      <c r="S129" s="221" t="s">
        <v>352</v>
      </c>
      <c r="T129" s="221"/>
      <c r="U129" s="221"/>
      <c r="V129" s="221"/>
      <c r="W129" s="221"/>
      <c r="X129" s="221"/>
      <c r="AA129" s="462"/>
      <c r="AB129" s="462"/>
      <c r="AC129" s="462"/>
    </row>
    <row r="130" spans="1:29" ht="27.75" customHeight="1" thickBot="1">
      <c r="A130" s="238"/>
      <c r="B130" s="237"/>
      <c r="C130" s="236">
        <f>SUM(C126:C129)</f>
        <v>0.99999999999999989</v>
      </c>
      <c r="D130" s="217"/>
      <c r="F130" s="235"/>
      <c r="H130" s="235"/>
      <c r="I130" s="235"/>
      <c r="S130" s="227">
        <f>IF((F129-F125)=0,0,1-(F98-F125)/(F129-F125))</f>
        <v>0</v>
      </c>
      <c r="T130" s="221" t="s">
        <v>351</v>
      </c>
      <c r="U130" s="227"/>
      <c r="V130" s="221">
        <v>0</v>
      </c>
      <c r="W130" s="221" t="s">
        <v>350</v>
      </c>
      <c r="X130" s="224">
        <v>25</v>
      </c>
      <c r="AA130" s="462"/>
      <c r="AB130" s="462"/>
      <c r="AC130" s="462"/>
    </row>
    <row r="131" spans="1:29" ht="27.75" customHeight="1" thickBot="1">
      <c r="C131" s="234" t="s">
        <v>1761</v>
      </c>
      <c r="F131" s="232" t="str">
        <f>IF(F98&lt;=F125,"Niveau 4",VLOOKUP(F98,$F$125:$K$129,6))</f>
        <v>Niveau 4</v>
      </c>
      <c r="G131" s="233" t="str">
        <f>IF(G98&lt;=G125,"Niveau 4",VLOOKUP(G98,$G$125:$K$129,5))</f>
        <v>Niveau 4</v>
      </c>
      <c r="H131" s="232" t="str">
        <f>IF(H98&lt;=H125,"Niveau 4",VLOOKUP(H98,$H$125:$K$129,4))</f>
        <v>Niveau 4</v>
      </c>
      <c r="I131" s="232" t="str">
        <f>IF(I98&lt;=I125,"Niveau 4",VLOOKUP(I98,$I$125:$K$129,2))</f>
        <v>Niveau 4</v>
      </c>
      <c r="S131" s="227">
        <f>100%-S130</f>
        <v>1</v>
      </c>
      <c r="T131" s="221" t="s">
        <v>349</v>
      </c>
      <c r="U131" s="227"/>
      <c r="V131" s="221">
        <v>1</v>
      </c>
      <c r="W131" s="221" t="s">
        <v>18</v>
      </c>
      <c r="X131" s="224">
        <v>25</v>
      </c>
      <c r="AA131" s="462"/>
      <c r="AB131" s="462"/>
      <c r="AC131" s="462"/>
    </row>
    <row r="132" spans="1:29" ht="27.75" customHeight="1">
      <c r="S132" s="227">
        <v>0.5</v>
      </c>
      <c r="T132" s="221" t="s">
        <v>348</v>
      </c>
      <c r="U132" s="227"/>
      <c r="V132" s="221">
        <v>2</v>
      </c>
      <c r="W132" s="231" t="s">
        <v>347</v>
      </c>
      <c r="X132" s="224">
        <v>25</v>
      </c>
      <c r="AA132" s="462"/>
      <c r="AB132" s="462"/>
      <c r="AC132" s="462"/>
    </row>
    <row r="133" spans="1:29" ht="27.75" customHeight="1">
      <c r="A133" s="230" t="s">
        <v>1762</v>
      </c>
      <c r="B133" s="229" t="s">
        <v>1187</v>
      </c>
      <c r="C133" s="228" t="s">
        <v>1767</v>
      </c>
      <c r="S133" s="227">
        <v>0.5</v>
      </c>
      <c r="T133" s="221" t="s">
        <v>346</v>
      </c>
      <c r="U133" s="227"/>
      <c r="V133" s="221">
        <v>3</v>
      </c>
      <c r="W133" s="221"/>
      <c r="X133" s="224">
        <v>25</v>
      </c>
      <c r="AA133" s="462"/>
      <c r="AB133" s="462"/>
      <c r="AC133" s="462"/>
    </row>
    <row r="134" spans="1:29" ht="27.75" customHeight="1">
      <c r="A134" s="226">
        <v>50</v>
      </c>
      <c r="B134" s="181" t="s">
        <v>1763</v>
      </c>
      <c r="C134" s="222">
        <f>76.1+1.4</f>
        <v>77.5</v>
      </c>
      <c r="S134" s="225"/>
      <c r="T134" s="225"/>
      <c r="U134" s="225"/>
      <c r="V134" s="221">
        <v>4</v>
      </c>
      <c r="W134" s="221" t="s">
        <v>345</v>
      </c>
      <c r="X134" s="224">
        <v>100</v>
      </c>
      <c r="AA134" s="462"/>
      <c r="AB134" s="462"/>
      <c r="AC134" s="462"/>
    </row>
    <row r="135" spans="1:29" ht="27.75" customHeight="1">
      <c r="A135" s="223">
        <v>10</v>
      </c>
      <c r="B135" s="181" t="s">
        <v>1764</v>
      </c>
      <c r="C135" s="222">
        <v>4.8</v>
      </c>
      <c r="S135" s="221"/>
      <c r="T135" s="221"/>
      <c r="U135" s="221"/>
      <c r="V135" s="221"/>
      <c r="W135" s="221"/>
      <c r="X135" s="221"/>
      <c r="AA135" s="462"/>
      <c r="AB135" s="462"/>
      <c r="AC135" s="462"/>
    </row>
    <row r="136" spans="1:29" ht="27.75" customHeight="1">
      <c r="A136" s="223">
        <v>30</v>
      </c>
      <c r="B136" s="181" t="s">
        <v>1765</v>
      </c>
      <c r="C136" s="222">
        <f>4.6+3.8+0.4</f>
        <v>8.7999999999999989</v>
      </c>
      <c r="S136" s="221"/>
      <c r="T136" s="221"/>
      <c r="U136" s="221"/>
      <c r="V136" s="221"/>
      <c r="W136" s="221"/>
      <c r="X136" s="221"/>
      <c r="AA136" s="462"/>
      <c r="AB136" s="462"/>
      <c r="AC136" s="462"/>
    </row>
    <row r="137" spans="1:29" ht="27.75" customHeight="1" thickBot="1">
      <c r="A137" s="220">
        <v>10</v>
      </c>
      <c r="B137" s="219" t="s">
        <v>1766</v>
      </c>
      <c r="C137" s="218">
        <f>3.2+1.5</f>
        <v>4.7</v>
      </c>
      <c r="S137" s="331" t="str">
        <f>"Emission de "&amp;ROUND(F98/1000,2)&amp;" tonnes eqCO2"</f>
        <v>Emission de 0 tonnes eqCO2</v>
      </c>
      <c r="AA137" s="462"/>
      <c r="AB137" s="462"/>
      <c r="AC137" s="462"/>
    </row>
    <row r="138" spans="1:29" ht="27.75" customHeight="1">
      <c r="S138" s="332" t="str">
        <f>"Niveau 4 &lt;= "&amp;ROUND(F125/1000,1)&amp;" t eqCO2"</f>
        <v>Niveau 4 &lt;= 0 t eqCO2</v>
      </c>
      <c r="AA138" s="462"/>
      <c r="AB138" s="462"/>
      <c r="AC138" s="462"/>
    </row>
    <row r="139" spans="1:29" ht="27.75" customHeight="1">
      <c r="S139" s="332" t="str">
        <f>"Objectif atteint = "&amp;ROUND(S130*4,1)</f>
        <v>Objectif atteint = 0</v>
      </c>
      <c r="AA139" s="462"/>
      <c r="AB139" s="462"/>
      <c r="AC139" s="462"/>
    </row>
    <row r="140" spans="1:29" ht="27.75" customHeight="1">
      <c r="AA140" s="462"/>
      <c r="AB140" s="462"/>
      <c r="AC140" s="462"/>
    </row>
    <row r="141" spans="1:29" ht="27.75" customHeight="1">
      <c r="A141" s="181"/>
      <c r="S141" s="332"/>
      <c r="AA141" s="462"/>
      <c r="AB141" s="462"/>
      <c r="AC141" s="462"/>
    </row>
    <row r="142" spans="1:29" ht="27.75" customHeight="1">
      <c r="A142" s="462"/>
      <c r="B142" s="462"/>
      <c r="C142" s="462"/>
      <c r="D142" s="462"/>
      <c r="E142" s="462"/>
      <c r="F142" s="462"/>
      <c r="G142" s="462"/>
      <c r="H142" s="462"/>
      <c r="I142" s="462"/>
      <c r="J142" s="462"/>
      <c r="K142" s="462"/>
      <c r="L142" s="462"/>
      <c r="M142" s="462"/>
      <c r="N142" s="462"/>
      <c r="O142" s="462"/>
      <c r="P142" s="462"/>
      <c r="Q142" s="462"/>
      <c r="R142" s="462"/>
      <c r="S142" s="462"/>
      <c r="T142" s="462"/>
      <c r="U142" s="462"/>
      <c r="V142" s="462"/>
      <c r="W142" s="462"/>
      <c r="X142" s="462"/>
      <c r="Y142" s="462"/>
      <c r="Z142" s="462"/>
      <c r="AA142" s="462"/>
      <c r="AB142" s="462"/>
      <c r="AC142" s="462"/>
    </row>
    <row r="143" spans="1:29">
      <c r="A143" s="462"/>
      <c r="B143" s="462"/>
      <c r="C143" s="462"/>
      <c r="D143" s="462"/>
      <c r="E143" s="462"/>
      <c r="F143" s="462"/>
      <c r="G143" s="462"/>
      <c r="H143" s="462"/>
      <c r="I143" s="462"/>
      <c r="J143" s="462"/>
      <c r="K143" s="462"/>
      <c r="L143" s="462"/>
      <c r="M143" s="462"/>
      <c r="N143" s="462"/>
      <c r="O143" s="462"/>
      <c r="P143" s="462"/>
      <c r="Q143" s="462"/>
      <c r="R143" s="462"/>
      <c r="S143" s="462"/>
      <c r="T143" s="462"/>
      <c r="U143" s="462"/>
      <c r="V143" s="462"/>
      <c r="W143" s="462"/>
      <c r="X143" s="462"/>
      <c r="Y143" s="462"/>
      <c r="Z143" s="462"/>
      <c r="AA143" s="462"/>
      <c r="AB143" s="462"/>
      <c r="AC143" s="462"/>
    </row>
  </sheetData>
  <dataConsolidate/>
  <mergeCells count="34">
    <mergeCell ref="A113:J113"/>
    <mergeCell ref="A122:J122"/>
    <mergeCell ref="B68:E68"/>
    <mergeCell ref="B69:E69"/>
    <mergeCell ref="B70:C70"/>
    <mergeCell ref="B71:C71"/>
    <mergeCell ref="B72:C72"/>
    <mergeCell ref="B73:C73"/>
    <mergeCell ref="B74:C74"/>
    <mergeCell ref="B75:C75"/>
    <mergeCell ref="B76:C76"/>
    <mergeCell ref="B77:C77"/>
    <mergeCell ref="B78:C78"/>
    <mergeCell ref="B89:C89"/>
    <mergeCell ref="B84:C84"/>
    <mergeCell ref="B85:C85"/>
    <mergeCell ref="B2:H2"/>
    <mergeCell ref="B4:H4"/>
    <mergeCell ref="B5:H5"/>
    <mergeCell ref="B21:H21"/>
    <mergeCell ref="B23:H23"/>
    <mergeCell ref="C49:F49"/>
    <mergeCell ref="A94:J94"/>
    <mergeCell ref="B44:G44"/>
    <mergeCell ref="B27:G27"/>
    <mergeCell ref="B26:G26"/>
    <mergeCell ref="B79:C79"/>
    <mergeCell ref="B80:C80"/>
    <mergeCell ref="B81:C81"/>
    <mergeCell ref="B82:C82"/>
    <mergeCell ref="B83:C83"/>
    <mergeCell ref="B86:C86"/>
    <mergeCell ref="B87:C87"/>
    <mergeCell ref="B88:C88"/>
  </mergeCells>
  <conditionalFormatting sqref="C130">
    <cfRule type="cellIs" dxfId="14" priority="1" stopIfTrue="1" operator="equal">
      <formula>1</formula>
    </cfRule>
    <cfRule type="cellIs" dxfId="13" priority="2" stopIfTrue="1" operator="notEqual">
      <formula>1</formula>
    </cfRule>
  </conditionalFormatting>
  <dataValidations count="3">
    <dataValidation type="decimal" allowBlank="1" showInputMessage="1" showErrorMessage="1" sqref="E7:E20">
      <formula1>0</formula1>
      <formula2>1</formula2>
    </dataValidation>
    <dataValidation type="list" allowBlank="1" showInputMessage="1" showErrorMessage="1" sqref="C7:C20">
      <formula1>Mode_de_déplacement_domicile_travail</formula1>
    </dataValidation>
    <dataValidation type="list" allowBlank="1" showInputMessage="1" showErrorMessage="1" sqref="C29:C43">
      <formula1>Mode_de_déplacement_professionnel</formula1>
    </dataValidation>
  </dataValidations>
  <pageMargins left="0.7" right="0.7" top="0.75" bottom="0.75" header="0.3" footer="0.3"/>
  <pageSetup paperSize="9" orientation="portrait" horizontalDpi="4294967294" r:id="rId1"/>
  <headerFooter alignWithMargins="0"/>
  <drawing r:id="rId2"/>
  <legacy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43</vt:i4>
      </vt:variant>
    </vt:vector>
  </HeadingPairs>
  <TitlesOfParts>
    <vt:vector size="61" baseType="lpstr">
      <vt:lpstr>1-Inhoud</vt:lpstr>
      <vt:lpstr>mob</vt:lpstr>
      <vt:lpstr>2-Algemene gegevens</vt:lpstr>
      <vt:lpstr>3-Synthese</vt:lpstr>
      <vt:lpstr>4-Materialen gebouwen</vt:lpstr>
      <vt:lpstr>4b</vt:lpstr>
      <vt:lpstr>4c</vt:lpstr>
      <vt:lpstr>5-Mobilité Data</vt:lpstr>
      <vt:lpstr>5-Tool Mobiliteit A</vt:lpstr>
      <vt:lpstr>5-Tool Mobiliteit B</vt:lpstr>
      <vt:lpstr>5-Tool mobiliteit C</vt:lpstr>
      <vt:lpstr>6-Tool biodiversiteit</vt:lpstr>
      <vt:lpstr>7-tool energie</vt:lpstr>
      <vt:lpstr>7b</vt:lpstr>
      <vt:lpstr>8-Tool water</vt:lpstr>
      <vt:lpstr>8b</vt:lpstr>
      <vt:lpstr>9-Tool afval</vt:lpstr>
      <vt:lpstr>10-Remarques </vt:lpstr>
      <vt:lpstr>'4-Materialen gebouwen'!_Toc256430534</vt:lpstr>
      <vt:lpstr>a_train</vt:lpstr>
      <vt:lpstr>b_train</vt:lpstr>
      <vt:lpstr>C_acc</vt:lpstr>
      <vt:lpstr>C_alc</vt:lpstr>
      <vt:lpstr>c_train</vt:lpstr>
      <vt:lpstr>Cbus</vt:lpstr>
      <vt:lpstr>CGM</vt:lpstr>
      <vt:lpstr>CGV</vt:lpstr>
      <vt:lpstr>ChoixBinaire</vt:lpstr>
      <vt:lpstr>ChoixBinaireAP</vt:lpstr>
      <vt:lpstr>ChoixBinaireZP</vt:lpstr>
      <vt:lpstr>ChoixBinaireZR</vt:lpstr>
      <vt:lpstr>Collaboration</vt:lpstr>
      <vt:lpstr>d_train</vt:lpstr>
      <vt:lpstr>Essences</vt:lpstr>
      <vt:lpstr>GestionAbords</vt:lpstr>
      <vt:lpstr>GestionEspaces</vt:lpstr>
      <vt:lpstr>Inventaire</vt:lpstr>
      <vt:lpstr>InventaireAP</vt:lpstr>
      <vt:lpstr>Mode_de_déplacement_domicile_travail</vt:lpstr>
      <vt:lpstr>Mode_de_déplacement_professionnel</vt:lpstr>
      <vt:lpstr>'5-Tool Mobiliteit A'!Moyen_de_déplacement</vt:lpstr>
      <vt:lpstr>Moyen_de_déplacement</vt:lpstr>
      <vt:lpstr>Moyen_de_déplacement_de_fret</vt:lpstr>
      <vt:lpstr>NACE</vt:lpstr>
      <vt:lpstr>parD</vt:lpstr>
      <vt:lpstr>PE</vt:lpstr>
      <vt:lpstr>PG</vt:lpstr>
      <vt:lpstr>PGPL</vt:lpstr>
      <vt:lpstr>PK</vt:lpstr>
      <vt:lpstr>PM</vt:lpstr>
      <vt:lpstr>'3-Synthese'!Print_Area</vt:lpstr>
      <vt:lpstr>'4-Materialen gebouwen'!Print_Area</vt:lpstr>
      <vt:lpstr>'5-Tool Mobiliteit B'!Print_Area</vt:lpstr>
      <vt:lpstr>'5-Tool mobiliteit C'!Print_Area</vt:lpstr>
      <vt:lpstr>PV</vt:lpstr>
      <vt:lpstr>question</vt:lpstr>
      <vt:lpstr>QuestionnaireB.1.5</vt:lpstr>
      <vt:lpstr>QuestionnairebaseNiv01</vt:lpstr>
      <vt:lpstr>QuestionnairenbaseNiv1</vt:lpstr>
      <vt:lpstr>QuestionnairePourcentage</vt:lpstr>
      <vt:lpstr>'5-Tool Mobiliteit A'!tempstravail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2013-01-17T15:56:03Z</dcterms:modified>
</cp:coreProperties>
</file>